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24795" windowHeight="12270" activeTab="1"/>
  </bookViews>
  <sheets>
    <sheet name="Submit Data" sheetId="1" r:id="rId1"/>
    <sheet name="Table 1" sheetId="2" r:id="rId2"/>
    <sheet name="Table 2" sheetId="3" r:id="rId3"/>
    <sheet name="Table 3a" sheetId="4" r:id="rId4"/>
    <sheet name="Table 3b" sheetId="5" r:id="rId5"/>
    <sheet name="Table 4" sheetId="6" r:id="rId6"/>
    <sheet name="Checksheet" sheetId="7" r:id="rId7"/>
  </sheets>
  <definedNames>
    <definedName name="enddfes">'Table 2'!$D$133</definedName>
    <definedName name="EY_Error_Range">#REF!</definedName>
    <definedName name="EY_Message">'Submit Data'!#REF!</definedName>
    <definedName name="_xlnm.Print_Area" localSheetId="6">'Checksheet'!$A$1:$O$69</definedName>
    <definedName name="_xlnm.Print_Area" localSheetId="1">'Table 1'!$A$1:$S$89</definedName>
    <definedName name="_xlnm.Print_Area" localSheetId="2">'Table 2'!$A$1:$AF$162</definedName>
    <definedName name="_xlnm.Print_Area" localSheetId="3">'Table 3a'!$A$1:$CB$129</definedName>
    <definedName name="_xlnm.Print_Area" localSheetId="4">'Table 3b'!$A$1:$AI$24</definedName>
    <definedName name="_xlnm.Print_Area" localSheetId="5">'Table 4'!$A$1:$O$553</definedName>
    <definedName name="_xlnm.Print_Titles" localSheetId="2">'Table 2'!$C:$D,'Table 2'!$9:$17</definedName>
    <definedName name="_xlnm.Print_Titles" localSheetId="3">'Table 3a'!$C:$C,'Table 3a'!$8:$18</definedName>
    <definedName name="_xlnm.Print_Titles" localSheetId="4">'Table 3b'!$B:$C,'Table 3b'!$8:$16</definedName>
    <definedName name="SBS_Error_Range">#REF!</definedName>
    <definedName name="SBS_Notes">#REF!</definedName>
    <definedName name="startdfes">'Table 2'!$D$18</definedName>
    <definedName name="T1_Comments" localSheetId="1">'Table 1'!#REF!</definedName>
    <definedName name="T1_Comments">#REF!</definedName>
    <definedName name="T1_Error_Range" localSheetId="1">'Table 1'!$AB$5:$AT$80</definedName>
    <definedName name="T1_Error_Range">#REF!</definedName>
    <definedName name="T1_Message">'Submit Data'!$C$3</definedName>
    <definedName name="T1_Notes">'Table 1'!$A$208:$M$240</definedName>
    <definedName name="T1aCEL_ERROR_RANGE">#REF!</definedName>
    <definedName name="T1aCEL_Notes">#REF!</definedName>
    <definedName name="T1aYS_Message">'Submit Data'!#REF!</definedName>
    <definedName name="T2_Comments">'Table 2'!$AS$160:$AY$188</definedName>
    <definedName name="T2_Error_Range">'Table 2'!$AQ$5:$BU$156</definedName>
    <definedName name="T2_Message">'Submit Data'!$C$4</definedName>
    <definedName name="T2_Notes">'Table 2'!$C$160:$I$184</definedName>
    <definedName name="T2_Notes_Check">'Table 2'!$DG$159:$DG$186</definedName>
    <definedName name="T2_Nursery">'Table 2'!$C$19</definedName>
    <definedName name="T2_Primary">'Table 2'!$C$24</definedName>
    <definedName name="T2_PriMiddle">'Table 2'!$C$93</definedName>
    <definedName name="T2_SecMiddle">'Table 2'!$C$112</definedName>
    <definedName name="T2_Secondary">'Table 2'!$C$98</definedName>
    <definedName name="T2_Special">'Table 2'!$C$126</definedName>
    <definedName name="T2_TotalAllSchools">'Table 2'!$C$135</definedName>
    <definedName name="T2_TotalNursery">'Table 2'!$C$22</definedName>
    <definedName name="T2_TotalPrimary">'Table 2'!$C$96</definedName>
    <definedName name="T2_TotalSecondary">'Table 2'!$C$115</definedName>
    <definedName name="T2_TotalSpecial">'Table 2'!$C$133</definedName>
    <definedName name="T3_Error_Range">'Table 3a'!$DW$5:$EN$126</definedName>
    <definedName name="T3_Nursery">'Table 3a'!$C$20</definedName>
    <definedName name="T3_Primary">'Table 3a'!$C$25</definedName>
    <definedName name="T3_PrimarySubTotal">'Table 3a'!$C$94</definedName>
    <definedName name="T3_PriMiddle">'Table 3a'!$C$96</definedName>
    <definedName name="T3_PriMiddleSubTotal">'Table 3a'!$C$99</definedName>
    <definedName name="T3_SecMiddle">'Table 3a'!$C$121</definedName>
    <definedName name="T3_SecMiddleSubTotal">'Table 3a'!$C$124</definedName>
    <definedName name="T3_Secondary">'Table 3a'!$C$105</definedName>
    <definedName name="T3_SecondarySubTotal">'Table 3a'!$C$119</definedName>
    <definedName name="T3_Special">'Table 3b'!$B$17</definedName>
    <definedName name="T3_TotalNursery">'Table 3a'!$C$23</definedName>
    <definedName name="T3_TotalPrimary">'Table 3a'!$C$101</definedName>
    <definedName name="T3_TotalSecondary">'Table 3a'!$C$124</definedName>
    <definedName name="T3_TotalSpecial">'Table 3b'!$B$24</definedName>
    <definedName name="T3b_Error_Range">'Table 3b'!$CU$5:$DH$25</definedName>
    <definedName name="T4_Contact" localSheetId="5">'Table 4'!$C$6</definedName>
    <definedName name="T4_Contact">#REF!</definedName>
    <definedName name="T4_Date" localSheetId="5">'Table 4'!$O$6</definedName>
    <definedName name="T4_Date">#REF!</definedName>
    <definedName name="T4_Email" localSheetId="5">'Table 4'!$O$5</definedName>
    <definedName name="T4_Email">#REF!</definedName>
    <definedName name="T4_LEA_Name" localSheetId="5">'Table 4'!$F$5</definedName>
    <definedName name="T4_LEA_Name">#REF!</definedName>
    <definedName name="T4_LEA_Number" localSheetId="5">'Table 4'!$K$5</definedName>
    <definedName name="T4_LEA_Number">#REF!</definedName>
    <definedName name="T4_Message">'Submit Data'!$C$5</definedName>
    <definedName name="T4_Tel" localSheetId="5">'Table 4'!$F$6</definedName>
    <definedName name="T4_Tel">#REF!</definedName>
    <definedName name="T4_Version" localSheetId="5">'Table 4'!$K$6</definedName>
    <definedName name="T4_Version">#REF!</definedName>
    <definedName name="TABLE_1_NOTES" localSheetId="1">'Table 1'!$A$84:$S$129</definedName>
    <definedName name="TABLE_1_NOTES">#REF!</definedName>
    <definedName name="YS_Error_Range">#REF!</definedName>
  </definedNames>
  <calcPr fullCalcOnLoad="1"/>
</workbook>
</file>

<file path=xl/comments6.xml><?xml version="1.0" encoding="utf-8"?>
<comments xmlns="http://schemas.openxmlformats.org/spreadsheetml/2006/main">
  <authors>
    <author>JPLATT</author>
    <author>iking</author>
    <author>bmcguigan</author>
    <author>Steve Fenton</author>
  </authors>
  <commentList>
    <comment ref="G2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K30"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C6" authorId="1">
      <text>
        <r>
          <rPr>
            <b/>
            <sz val="8"/>
            <rFont val="Tahoma"/>
            <family val="0"/>
          </rPr>
          <t xml:space="preserve">Error:
</t>
        </r>
        <r>
          <rPr>
            <sz val="8"/>
            <rFont val="Tahoma"/>
            <family val="2"/>
          </rPr>
          <t>If this cell is red, your entry is missing.</t>
        </r>
      </text>
    </comment>
    <comment ref="F5" authorId="1">
      <text>
        <r>
          <rPr>
            <b/>
            <sz val="8"/>
            <rFont val="Tahoma"/>
            <family val="0"/>
          </rPr>
          <t xml:space="preserve">Error:
</t>
        </r>
        <r>
          <rPr>
            <sz val="8"/>
            <rFont val="Tahoma"/>
            <family val="2"/>
          </rPr>
          <t>If this cell is red, you have deleted your LEA name.</t>
        </r>
      </text>
    </comment>
    <comment ref="F6" authorId="1">
      <text>
        <r>
          <rPr>
            <b/>
            <sz val="8"/>
            <rFont val="Tahoma"/>
            <family val="0"/>
          </rPr>
          <t xml:space="preserve">Error:
</t>
        </r>
        <r>
          <rPr>
            <sz val="8"/>
            <rFont val="Tahoma"/>
            <family val="2"/>
          </rPr>
          <t>If this cell is red, your entry is missing.</t>
        </r>
      </text>
    </comment>
    <comment ref="K5" authorId="1">
      <text>
        <r>
          <rPr>
            <b/>
            <sz val="8"/>
            <rFont val="Tahoma"/>
            <family val="0"/>
          </rPr>
          <t xml:space="preserve">Error:
</t>
        </r>
        <r>
          <rPr>
            <sz val="8"/>
            <rFont val="Tahoma"/>
            <family val="2"/>
          </rPr>
          <t>If this cell is red, you have deleted your LEA number.</t>
        </r>
      </text>
    </comment>
    <comment ref="K6" authorId="1">
      <text>
        <r>
          <rPr>
            <b/>
            <sz val="8"/>
            <rFont val="Tahoma"/>
            <family val="0"/>
          </rPr>
          <t xml:space="preserve">Warning:
</t>
        </r>
        <r>
          <rPr>
            <sz val="8"/>
            <rFont val="Tahoma"/>
            <family val="2"/>
          </rPr>
          <t>If this cell is yellow you have deleted the version number or it is less than 1</t>
        </r>
      </text>
    </comment>
    <comment ref="O5" authorId="1">
      <text>
        <r>
          <rPr>
            <b/>
            <sz val="8"/>
            <rFont val="Tahoma"/>
            <family val="0"/>
          </rPr>
          <t xml:space="preserve">Error:
</t>
        </r>
        <r>
          <rPr>
            <sz val="8"/>
            <rFont val="Tahoma"/>
            <family val="2"/>
          </rPr>
          <t>If this cell is red, your entry is missing.</t>
        </r>
      </text>
    </comment>
    <comment ref="G23"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4"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5"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6"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7"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8"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29"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30"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3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3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3"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4"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5"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6"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7"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8"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29"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30"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31"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I3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K32" authorId="0">
      <text>
        <r>
          <rPr>
            <b/>
            <sz val="8"/>
            <rFont val="Tahoma"/>
            <family val="2"/>
          </rPr>
          <t>Errors:</t>
        </r>
        <r>
          <rPr>
            <sz val="8"/>
            <rFont val="Tahoma"/>
            <family val="0"/>
          </rPr>
          <t xml:space="preserve">
If this cell is red, your entry is invalid.  You must enter a positive number in this cell. If this cell is deep blue, your entry is missing.</t>
        </r>
      </text>
    </comment>
    <comment ref="G127" authorId="2">
      <text>
        <r>
          <rPr>
            <b/>
            <sz val="8"/>
            <rFont val="Tahoma"/>
            <family val="0"/>
          </rPr>
          <t>Errors:
If this cell is red, your entry is invalid.  You must enter a positive number in this cell. If this cell is deep blue, your entry is missing.</t>
        </r>
      </text>
    </comment>
    <comment ref="K20" authorId="2">
      <text>
        <r>
          <rPr>
            <sz val="8"/>
            <rFont val="Tahoma"/>
            <family val="0"/>
          </rPr>
          <t xml:space="preserve">Errors:
If this cell is red, your entry is invalid.  You must enter a positive number in this cell. If this cell is deep blue, your entry is missing.
</t>
        </r>
      </text>
    </comment>
    <comment ref="P374" authorId="3">
      <text>
        <r>
          <rPr>
            <b/>
            <sz val="8"/>
            <rFont val="Tahoma"/>
            <family val="0"/>
          </rPr>
          <t>Steve Fenton:</t>
        </r>
        <r>
          <rPr>
            <sz val="8"/>
            <rFont val="Tahoma"/>
            <family val="0"/>
          </rPr>
          <t xml:space="preserve">
for Primary - equivalent to 1.5 units</t>
        </r>
      </text>
    </comment>
    <comment ref="O6" authorId="1">
      <text>
        <r>
          <rPr>
            <b/>
            <sz val="8"/>
            <rFont val="Tahoma"/>
            <family val="0"/>
          </rPr>
          <t xml:space="preserve">Warning:
</t>
        </r>
        <r>
          <rPr>
            <sz val="8"/>
            <rFont val="Tahoma"/>
            <family val="2"/>
          </rPr>
          <t>If this cell is yellow, your entry is missing or contains a date in the future.</t>
        </r>
      </text>
    </comment>
  </commentList>
</comments>
</file>

<file path=xl/comments7.xml><?xml version="1.0" encoding="utf-8"?>
<comments xmlns="http://schemas.openxmlformats.org/spreadsheetml/2006/main">
  <authors>
    <author>iking</author>
  </authors>
  <commentList>
    <comment ref="F6" authorId="0">
      <text>
        <r>
          <rPr>
            <b/>
            <sz val="8"/>
            <rFont val="Tahoma"/>
            <family val="0"/>
          </rPr>
          <t xml:space="preserve">Error:
</t>
        </r>
        <r>
          <rPr>
            <sz val="8"/>
            <rFont val="Tahoma"/>
            <family val="2"/>
          </rPr>
          <t>If this cell is red, your entry is missing.</t>
        </r>
      </text>
    </comment>
    <comment ref="C6" authorId="0">
      <text>
        <r>
          <rPr>
            <b/>
            <sz val="8"/>
            <rFont val="Tahoma"/>
            <family val="0"/>
          </rPr>
          <t xml:space="preserve">Error:
</t>
        </r>
        <r>
          <rPr>
            <sz val="8"/>
            <rFont val="Tahoma"/>
            <family val="2"/>
          </rPr>
          <t>If this cell is red, your entry is missing.</t>
        </r>
      </text>
    </comment>
    <comment ref="K6" authorId="0">
      <text>
        <r>
          <rPr>
            <b/>
            <sz val="8"/>
            <rFont val="Tahoma"/>
            <family val="0"/>
          </rPr>
          <t xml:space="preserve">Warning:
</t>
        </r>
        <r>
          <rPr>
            <sz val="8"/>
            <rFont val="Tahoma"/>
            <family val="2"/>
          </rPr>
          <t>If this cell is yellow you have deleted the version number or it is less than 1</t>
        </r>
      </text>
    </comment>
    <comment ref="F5" authorId="0">
      <text>
        <r>
          <rPr>
            <b/>
            <sz val="8"/>
            <rFont val="Tahoma"/>
            <family val="0"/>
          </rPr>
          <t xml:space="preserve">Error:
</t>
        </r>
        <r>
          <rPr>
            <sz val="8"/>
            <rFont val="Tahoma"/>
            <family val="2"/>
          </rPr>
          <t>If this cell is red, you have deleted your LEA name.</t>
        </r>
      </text>
    </comment>
    <comment ref="K5" authorId="0">
      <text>
        <r>
          <rPr>
            <b/>
            <sz val="8"/>
            <rFont val="Tahoma"/>
            <family val="0"/>
          </rPr>
          <t xml:space="preserve">Error:
</t>
        </r>
        <r>
          <rPr>
            <sz val="8"/>
            <rFont val="Tahoma"/>
            <family val="2"/>
          </rPr>
          <t>If this cell is red, you have deleted your LEA number.</t>
        </r>
      </text>
    </comment>
    <comment ref="N5" authorId="0">
      <text>
        <r>
          <rPr>
            <b/>
            <sz val="8"/>
            <rFont val="Tahoma"/>
            <family val="0"/>
          </rPr>
          <t xml:space="preserve">Error:
</t>
        </r>
        <r>
          <rPr>
            <sz val="8"/>
            <rFont val="Tahoma"/>
            <family val="2"/>
          </rPr>
          <t>If this cell is red, your entry is missing.</t>
        </r>
      </text>
    </comment>
    <comment ref="N6" authorId="0">
      <text>
        <r>
          <rPr>
            <b/>
            <sz val="8"/>
            <rFont val="Tahoma"/>
            <family val="0"/>
          </rPr>
          <t xml:space="preserve">Warning:
</t>
        </r>
        <r>
          <rPr>
            <sz val="8"/>
            <rFont val="Tahoma"/>
            <family val="2"/>
          </rPr>
          <t>If this cell is yellow, your entry is missing or contains a date in the future.</t>
        </r>
      </text>
    </comment>
  </commentList>
</comments>
</file>

<file path=xl/sharedStrings.xml><?xml version="1.0" encoding="utf-8"?>
<sst xmlns="http://schemas.openxmlformats.org/spreadsheetml/2006/main" count="1508" uniqueCount="817">
  <si>
    <t>Please note that due to the free format of Tables 3 and 4, if columns or rows have been added or deleted to those tables this checksheet may pick up the wrong cells from your workbook. Consequently these cells are unprotected to allow you to alter the cell reference and check that your figures match.</t>
  </si>
  <si>
    <t>T3
value</t>
  </si>
  <si>
    <t>T4
value</t>
  </si>
  <si>
    <t>Difference</t>
  </si>
  <si>
    <t>Total age weighted funding for primary</t>
  </si>
  <si>
    <t>Total age weighted funding for secondary</t>
  </si>
  <si>
    <t>Pre-School Place-Led Funding (Nursery Classes 3 &amp; 4 year olds) for nursery</t>
  </si>
  <si>
    <t>Pre-School Place-Led Funding (Nursery Classes 3 &amp; 4 year olds) for primary</t>
  </si>
  <si>
    <t>KS1 Alternative Funding routes, class based for nursery</t>
  </si>
  <si>
    <t>KS1 Alternative Funding routes, class based for primary</t>
  </si>
  <si>
    <t>KS1 Alternative Funding routes, ghost-funding for nursery</t>
  </si>
  <si>
    <t>KS1 Alternative Funding routes, ghost-funding for primary</t>
  </si>
  <si>
    <t xml:space="preserve">Local Authority "Top-up" for Sixth Form Pupils </t>
  </si>
  <si>
    <t>Other place-led funding (treated as pupil-led ) for nursery</t>
  </si>
  <si>
    <t>Other place-led funding (treated as pupil-led ) for primary</t>
  </si>
  <si>
    <t>Other place-led funding (treated as pupil-led ) for secondary</t>
  </si>
  <si>
    <t>LSC Grant Allocation Funding Sixth Form pupils</t>
  </si>
  <si>
    <t>AEN - Learning needs associated with EAL for nursery</t>
  </si>
  <si>
    <t>AEN - Learning needs associated with EAL for primary</t>
  </si>
  <si>
    <t>AEN - Learning needs associated with EAL for secondary</t>
  </si>
  <si>
    <t>SEN - pupils with or without statements (pupil-led) Named Pupil Individually Assigned Resources for Nursery</t>
  </si>
  <si>
    <t>SEN - pupils with or without statements (pupil-led) Named Pupil Individually Assigned Resources for Primary</t>
  </si>
  <si>
    <t>SEN - pupils with or without statements (pupil-led) Named Pupil Individually Assigned Resources for Secondary</t>
  </si>
  <si>
    <t>SEN - pupils with or without statements (pupil-led) Other for Nursery</t>
  </si>
  <si>
    <t>SEN - pupils with or without statements (pupil-led) Other for Primary</t>
  </si>
  <si>
    <t>SEN - pupils with or without statements (pupil-led) Other for Secondary</t>
  </si>
  <si>
    <t>SEN - pupils with or without statements (place-led treated as pupil-led) Named Pupil Individually Assigned Resources for Nursery</t>
  </si>
  <si>
    <t>SEN - pupils with or without statements (place-led treated as pupil-led) Named Pupil Individually Assigned Resources for Primary</t>
  </si>
  <si>
    <t>SEN - pupils with or without statements (place-led treated as pupil-led) Named Pupil Individually Assigned Resources for Secondary</t>
  </si>
  <si>
    <t>SEN - pupils with or without statements (place-led treated as pupil-led) Other for Nursery</t>
  </si>
  <si>
    <t>SEN - pupils with or without statements (place-led treated as pupil-led) Other for Primary</t>
  </si>
  <si>
    <t>SEN - pupils with or without statements (place-led treated as pupil-led) Other for Secondary</t>
  </si>
  <si>
    <t>AEN - Identified Special Educational Needs (non pupil-led) for nursery</t>
  </si>
  <si>
    <t>AEN - Identified Special Educational Needs (non pupil-led) for primary</t>
  </si>
  <si>
    <t>AEN - Identified Special Educational Needs (non pupil-led) for secondary</t>
  </si>
  <si>
    <t>AEN - Other Learning Needs for nursery</t>
  </si>
  <si>
    <t>AEN - Other Learning Needs for primary</t>
  </si>
  <si>
    <t>AEN - Other Learning Needs for secondary</t>
  </si>
  <si>
    <t>AEN - Social Needs for nursery</t>
  </si>
  <si>
    <t>AEN - Social Needs for primary</t>
  </si>
  <si>
    <t>AEN - Social Needs for secondary</t>
  </si>
  <si>
    <t>Site specific factors(including pupil led) for nursery</t>
  </si>
  <si>
    <t>Site specific factors (including pupil led) for primary</t>
  </si>
  <si>
    <t>Site specific factors (including pupil led) for secondary</t>
  </si>
  <si>
    <t>School specific factors (including pupil led) for nursery</t>
  </si>
  <si>
    <t>School specific (including pupil led) factors for primary</t>
  </si>
  <si>
    <t>School specific factors (including pupil led) for secondary</t>
  </si>
  <si>
    <t>Transitional provision for nursery</t>
  </si>
  <si>
    <t>Transitional provision for primary</t>
  </si>
  <si>
    <t>Transitional provision for secondary</t>
  </si>
  <si>
    <t>Abatement of Secondary Funding</t>
  </si>
  <si>
    <t>Minimum Funding Guarantee for nursery</t>
  </si>
  <si>
    <t>Minimum Funding Guarantee for primary</t>
  </si>
  <si>
    <t>Minimum Funding Guarantee for secondary</t>
  </si>
  <si>
    <t>Special schools: place-led funding</t>
  </si>
  <si>
    <t>Special schools: pupil-led funding</t>
  </si>
  <si>
    <t xml:space="preserve">Special schools: Total AEN - Learning needs associated with EAL </t>
  </si>
  <si>
    <t xml:space="preserve">Special schools: Total AEN - Social Need </t>
  </si>
  <si>
    <t xml:space="preserve">Special schools: Total Site-specific factors (including pupil-led )     </t>
  </si>
  <si>
    <t xml:space="preserve">Special schools: Total School-specific factors (including pupil-led )   </t>
  </si>
  <si>
    <t>Special schools: Budget Adjustments</t>
  </si>
  <si>
    <t>Special schools: Minimum Funding Guarantee</t>
  </si>
  <si>
    <t>Please enter any notes/comments why the Table 3 entries do not equal the Table 4 entries:</t>
  </si>
  <si>
    <t>TABLE 4: FUNDING PERIOD 3 (2010-11)</t>
  </si>
  <si>
    <t xml:space="preserve">Children, Schools and Families Financial Data Collection     </t>
  </si>
  <si>
    <t>Table 4: Funding Factors</t>
  </si>
  <si>
    <t xml:space="preserve"> (1) Nursery, Primary and Secondary Schools</t>
  </si>
  <si>
    <t>PUPIL COUNT ARRANGEMENTS  (2)</t>
  </si>
  <si>
    <t>Supply Method of pupil count, count dates and worked example(s) where appropriate:</t>
  </si>
  <si>
    <t xml:space="preserve">(3) Band, Range or Level </t>
  </si>
  <si>
    <t xml:space="preserve"> (4) Unit Value              £</t>
  </si>
  <si>
    <t xml:space="preserve">(5) Total allocated through factor  </t>
  </si>
  <si>
    <t xml:space="preserve"> (6) % of Nursery, Primary &amp; Secondary budgets</t>
  </si>
  <si>
    <t>AGE-WEIGHTED FUNDING  (7)</t>
  </si>
  <si>
    <t>Weighting Ratios (8)</t>
  </si>
  <si>
    <t>Key Stage</t>
  </si>
  <si>
    <t>School Year</t>
  </si>
  <si>
    <t>Pupil numbers (9)</t>
  </si>
  <si>
    <t>Foundation</t>
  </si>
  <si>
    <t>Key Stage 1</t>
  </si>
  <si>
    <t>Key Stage 2</t>
  </si>
  <si>
    <t>Key Stage 3</t>
  </si>
  <si>
    <t>Key Stage 4</t>
  </si>
  <si>
    <t xml:space="preserve">BUDGET:                 </t>
  </si>
  <si>
    <t>-</t>
  </si>
  <si>
    <t>Nursery</t>
  </si>
  <si>
    <t>3 yr old</t>
  </si>
  <si>
    <t>Teachers: Basic</t>
  </si>
  <si>
    <t>4 yr old</t>
  </si>
  <si>
    <t>Teachers: Management Structure</t>
  </si>
  <si>
    <t>Reception</t>
  </si>
  <si>
    <t>Teachers - Curric Mgt &amp; Dev't</t>
  </si>
  <si>
    <t>SENCO</t>
  </si>
  <si>
    <t>Leadership/UPS Contribution</t>
  </si>
  <si>
    <t>Teacher Pay Grants - 100% Formula</t>
  </si>
  <si>
    <t>Classroom Mgt Related (TWR)</t>
  </si>
  <si>
    <t>Personalised Learning</t>
  </si>
  <si>
    <t>Practical Learning KS4</t>
  </si>
  <si>
    <t>Exam Invigilation</t>
  </si>
  <si>
    <t>Primary:</t>
  </si>
  <si>
    <t>Classroom Support Assistants</t>
  </si>
  <si>
    <t>Admin &amp; Clerical Staff</t>
  </si>
  <si>
    <t>Secondary:</t>
  </si>
  <si>
    <t>Midday Supvn Costs:</t>
  </si>
  <si>
    <t>Other Employee Costs</t>
  </si>
  <si>
    <t>Curriculum Resources</t>
  </si>
  <si>
    <t>Re-takes (Year 12+)</t>
  </si>
  <si>
    <t>Examination Fees</t>
  </si>
  <si>
    <t>ICT - Hardware Replacement</t>
  </si>
  <si>
    <t>Secondary</t>
  </si>
  <si>
    <t>ICT Hardware Maintenance</t>
  </si>
  <si>
    <t>Administrative Costs</t>
  </si>
  <si>
    <t>Building Maintenance</t>
  </si>
  <si>
    <t>Other Premises Costs</t>
  </si>
  <si>
    <t>Method and worked example(s) where appropriate:</t>
  </si>
  <si>
    <t>Cleaning</t>
  </si>
  <si>
    <t>In line with the single pupil count, all pupil numbers, including nursery units (for per pupil funding) are as at the January count.</t>
  </si>
  <si>
    <t>SM INSET</t>
  </si>
  <si>
    <t xml:space="preserve">Pupil count excludes pupils designated to SEN units, who are funded separately. </t>
  </si>
  <si>
    <t>SM Music</t>
  </si>
  <si>
    <t xml:space="preserve">It is not intended to make any in-year budget re-determinations as a result of changes in pupil numbers. Schools that are subject to growth through school re-organisation are funded for additional pupils through the school re-organisation factor. </t>
  </si>
  <si>
    <t>SM Payroll</t>
  </si>
  <si>
    <t>Note that the occasional out of age range pupil is added back to the age 15 pupils and funded through the age 15 AWPU.</t>
  </si>
  <si>
    <t>SM Personnel</t>
  </si>
  <si>
    <t xml:space="preserve">The funding formula maintains a series of AWPU sub-factors - these are shown in the table on the right. Note that there are premises costs included here. </t>
  </si>
  <si>
    <t>SM SIAS</t>
  </si>
  <si>
    <t>SM Supply Insurance Scheme</t>
  </si>
  <si>
    <t>SM Swimming</t>
  </si>
  <si>
    <t>Non SM Pupil Value</t>
  </si>
  <si>
    <t>SM Pupil Value</t>
  </si>
  <si>
    <t>PRE-SCHOOL Place-Led Funding (Nursery Classes) (10)</t>
  </si>
  <si>
    <t xml:space="preserve">Standard cost/pupil </t>
  </si>
  <si>
    <t>Size</t>
  </si>
  <si>
    <t>Tchr</t>
  </si>
  <si>
    <t>Nurse</t>
  </si>
  <si>
    <t>Adult/Ratio</t>
  </si>
  <si>
    <t>Nursery 3 &amp; 4 year olds</t>
  </si>
  <si>
    <t>Nursery:</t>
  </si>
  <si>
    <t xml:space="preserve"> </t>
  </si>
  <si>
    <t>This factor funds the staffing costs according to a 1:10 adult/child ratio as shown above, at the funded average salary for a teacher &amp; nursery support assistant.</t>
  </si>
  <si>
    <t>The size of the nursery is the number of FTE places as at the January count rounded up to the nearest 5.00 FTE.</t>
  </si>
  <si>
    <t>Where a unit is forecast to be greater in size by 10FTE places at the September following the January count, then an agg roll is used of 5/12 Jan count + 7/12 the expected Sept FTE (all rounded up to nearest 5.00 FTE places)</t>
  </si>
  <si>
    <t>This factor is being reviewed as part of the move to a "single funding formula" from April 2010.</t>
  </si>
  <si>
    <t>KS 1            ALTERNATIVE FUNDING ROUTES FROM 1/9/03 (i.e. not by AWPU)  (11)</t>
  </si>
  <si>
    <t>Class-based</t>
  </si>
  <si>
    <t>Ghost funding</t>
  </si>
  <si>
    <t xml:space="preserve">The unit value is 1/30 of the funded average teacher salary. Reception classes are rounded up to a whole class of 30, year 1&amp;2 are added together, but it is assumed 27 children is sufficient for a viable class. </t>
  </si>
  <si>
    <t xml:space="preserve">The 31st, 61st child is not funded unless the LA has specifically requested the establishment of an additional class. </t>
  </si>
  <si>
    <t>1. Number of Reception pupils (FTE) required to give a multiple of 30 x Unit Value</t>
  </si>
  <si>
    <t>2. Number of FTE required to give Year 1 and 2 rolls combined as multiple of 27 x £Unit Value</t>
  </si>
  <si>
    <t>e.g. Reception Roll = 26: No of FTE required = 30-26 = 4. Allocation = 4 x £unit value</t>
  </si>
  <si>
    <t>Say Yr 1 Roll = 28 and Yr 2 Roll = 34; Combined roll = 28+34=62. No of FTE required = 81 (3*27) - 62 =19. Therefore Allocation = 19 x £unit value</t>
  </si>
  <si>
    <t>Difference in funding for pupils educated additionally at F.E colleges, work based learning providers or other providers of more practical learning options</t>
  </si>
  <si>
    <t>FUNDING OF SIXTH FORM PUPILS FROM LOCAL AUTHORITY FUNDS (12)</t>
  </si>
  <si>
    <t>"Top-up"</t>
  </si>
  <si>
    <t>OTHER PLACE-LED FUNDING TREATED AS PUPIL-LED such as in boarding units and hostels (13)</t>
  </si>
  <si>
    <t xml:space="preserve">      </t>
  </si>
  <si>
    <t>LSC GRANT ALLOCATION FUNDING SIXTH FORM PUPILS  (14)</t>
  </si>
  <si>
    <t>FTE Pupils (LSC Funded)</t>
  </si>
  <si>
    <t>Grant figures as notified to the Council. Includes: the basic grant, the LSC TPG element and any other adjustments as notified by the LSC. Note that Arden opened a new Sixth form from Sept 2008, and Smith's Wood a new sixth form from Sept 2009.</t>
  </si>
  <si>
    <t>The figures here are the allocations announced by the LSC in June 2009.</t>
  </si>
  <si>
    <t>AEN -Learning needs associated with EAL (15)</t>
  </si>
  <si>
    <t>AEN Identified Special Educational Needs (pupil led)  (16)</t>
  </si>
  <si>
    <t>SEN - pupils with or without statements (pupil-led)  Named Pupil Individually Assigned Resources (17)</t>
  </si>
  <si>
    <t>Primary</t>
  </si>
  <si>
    <t>All NPIAR except those in SEN Units</t>
  </si>
  <si>
    <t>Rate per no. of assigned hrs per week</t>
  </si>
  <si>
    <t>NPIAR in SEN Units</t>
  </si>
  <si>
    <t>All NPIAR.</t>
  </si>
  <si>
    <t xml:space="preserve">Rate per assigned unit of resource (m/s  &amp; SEN Units) - per year </t>
  </si>
  <si>
    <t xml:space="preserve">Secondary </t>
  </si>
  <si>
    <t xml:space="preserve">This factor applies to those pupils where the Sen Statement specifies levels of resources greater than 20 hours or greater than 4.0 units of resource per week. </t>
  </si>
  <si>
    <t xml:space="preserve">These pupils are "high cost/low incidence". </t>
  </si>
  <si>
    <t>For pupils with statements less than this, schools make provision from other SEN delegated resources as described below.</t>
  </si>
  <si>
    <t xml:space="preserve">For pupils funded by this factor the resource moves with the child; therefore resources are adjusted on an "actuals" basis throughout the year. </t>
  </si>
  <si>
    <t>The LA is phasing out hours as a resource, replacing it with "units of resource". 4.0 hours equals 1 unit of resource. To initially determine funding, snapshot of actual hours/units is taken as at January 2009. Funding is re-determined in-year as the funding follows the pupil.</t>
  </si>
  <si>
    <t>SEN - pupils with or without statements (pupil-led) Other (18)</t>
  </si>
  <si>
    <t>Statemented</t>
  </si>
  <si>
    <t>KS1</t>
  </si>
  <si>
    <t xml:space="preserve">Foundation KS score </t>
  </si>
  <si>
    <t>&lt;50</t>
  </si>
  <si>
    <t>50-80</t>
  </si>
  <si>
    <t>KS2</t>
  </si>
  <si>
    <t>Average point score Reading, Writing &amp;  Maths at KS1</t>
  </si>
  <si>
    <t>&gt;=W &lt;1</t>
  </si>
  <si>
    <t>&gt;=1&lt;2C</t>
  </si>
  <si>
    <t>Action +</t>
  </si>
  <si>
    <t>School Action</t>
  </si>
  <si>
    <t>KS3 &amp; KS4</t>
  </si>
  <si>
    <t>Average point score Eng, Maths &amp; Sci. at KS2</t>
  </si>
  <si>
    <t>L2&amp;below</t>
  </si>
  <si>
    <t>L3</t>
  </si>
  <si>
    <t xml:space="preserve">Primary &amp; Secondary - the same proxy measure of prior atainment is used for statemented pupils (pupils with statements not in SEN Unit, and with &lt;20hrs per week or 4 units of resource), and non-statemented (Action &amp; Action +) but in the first year of SEN statemented delegation we are maintaining as separate formula factors. We have also used the same factor to fund one element of personalised learning. The count point is pupils on roll as at January 2009 - there is a one year lag to the pupil count used for per pupil funding. </t>
  </si>
  <si>
    <t xml:space="preserve">Secondary - KS2 results are taken for all pupils on roll age 11-15, and the ave points score is calculated for english, maths &amp; science. The count point is pupils on roll as at January 2009 - there is a one year lag to the pupil count used for per pupil funding. </t>
  </si>
  <si>
    <t xml:space="preserve">For primary, KS1 results are used to fund the junior age pupils and Foundation Stage profile to fund KS1 &amp; Reception. For the infant phase the score is 3/2 theresults for years 1&amp;2, as results are not available for Reception intake. The count point is pupils on roll as at January 2009 - there is a one year lag to the pupil count used for per pupil funding. </t>
  </si>
  <si>
    <t>SEN - pupils with or without statements (place-led treated as pupil-led) Named Pupil Individually Assigned Resources (19)</t>
  </si>
  <si>
    <t>SEN - pupils with or without statements (place-led treated as pupil-led) Other (20)</t>
  </si>
  <si>
    <t xml:space="preserve">Further details to follow - shown here is only a total of funding for each SEN unit attached to a mainstream school. </t>
  </si>
  <si>
    <t>AEN - Identified Special Educational Needs (not pupil led)  (21)</t>
  </si>
  <si>
    <t>Top-up funding - so total cost of all statements is at least equal to amounts delegated</t>
  </si>
  <si>
    <t>Calculation</t>
  </si>
  <si>
    <t>Equal Lump sum for every School</t>
  </si>
  <si>
    <t>per school</t>
  </si>
  <si>
    <t xml:space="preserve">Top Up Funding - is to ensure that every school receives, in total, at least as much funding as the total value of all statements during the year. This is initially calculated as the total value of all statements at a snapshot (e.g. Jan 2010) less the value of all funding factors forstatemented pupils, where the total of the actual cost of high incidence statements is greater than the sum of all relevant funding factors. This factor is adjusted, if necessary in-year. </t>
  </si>
  <si>
    <t>Top Up Funding - note that this factor refers only to pupils that are "lower cost/higher incidence"; i.e. where the value describes levels of resources below 4.0 units or less than 20 hours. This is because high cost/low incidence pupils are adjusted for in-year separately as high cost pupils or their statements change.</t>
  </si>
  <si>
    <t>Top Up Funding - note that where a school receives more funding through the formula than the total value of statements, then there is no budget deduction either at the start of the year or in-year. This is because a school could be meeting needs without recourse to statements.</t>
  </si>
  <si>
    <t xml:space="preserve">The lump sum is so that every school receives a minimum value for statemented pupils, to introduce a degree of budget stability. </t>
  </si>
  <si>
    <t>AEN - Other Learning Needs  (22)</t>
  </si>
  <si>
    <t>Personalised Lng</t>
  </si>
  <si>
    <t>Personalised Learning - FSM Eligibility</t>
  </si>
  <si>
    <t>per pupil Jan 2009</t>
  </si>
  <si>
    <t>Personalised Learning - IDACI Index</t>
  </si>
  <si>
    <t>Ex-Pupil Retention Grant - Equal Lump Sum</t>
  </si>
  <si>
    <t xml:space="preserve">The personalised learning element based on prior attainment is as above for statemented pupils. </t>
  </si>
  <si>
    <t>Free School Meal Eligibility - the numbers of pupils that had a FSM as at Jan2009 census - used to fund social need element of personalisation funding</t>
  </si>
  <si>
    <t>IDACI Index - new factor from 2008-09 - The total index score for pupils on roll at the school times the number of pupils age 4-15 on roll as at Jan 2009.</t>
  </si>
  <si>
    <t xml:space="preserve">Ex-pupil Retention Grant - an old standards fund grant that was incorporated into the main funding formula (FSM &amp; Lump sum) - designed to support pupil retention. </t>
  </si>
  <si>
    <t>AEN - Social Needs (23)</t>
  </si>
  <si>
    <t>Catering - Free Meals Provision - FSM Take Up Jan Count - Non-Delegated (Admin &amp; Energy)</t>
  </si>
  <si>
    <t>Catering - Free Meals Provision - FSM Take Up Jan Count - Delegated</t>
  </si>
  <si>
    <t>ExCom Facility</t>
  </si>
  <si>
    <t>per eligible school</t>
  </si>
  <si>
    <t>Social Need - FSM Eligibility</t>
  </si>
  <si>
    <t>Social Need - IDACI Index</t>
  </si>
  <si>
    <t>Primary Free School Meal Take-Up - the numbers of pupils that had a FSM as at Jan2009 census - used to fund the admin &amp; energy costs of catering free meals. Over time the count may move to an average of a termly count.</t>
  </si>
  <si>
    <t xml:space="preserve">Primary &amp; Secondary - Free School Meal Take-Up - the numbers of pupils that had a FSM as at Jan2009 census - used to fund the contract cost of catering free meals where delegated. The unit value is the meal price times 190 days. </t>
  </si>
  <si>
    <t>Free School Meal Eligibility - the numbers of pupils that had a FSM as at Jan2008 census - used to fund social need element of personalisation funding.</t>
  </si>
  <si>
    <t>ExComm Facility - European Grant funded scheme in area of significant deprivation. School must have facility and be operating it in accordance with the scheme/SLA to receive funding.</t>
  </si>
  <si>
    <t xml:space="preserve">Note - the use of Jan 2009 data is deliberate lagging of data to better enable timeliness of budget information and enable schools to better plan over the longer term. </t>
  </si>
  <si>
    <t xml:space="preserve">Site - Specific Factors (including pupil-led ) (24) </t>
  </si>
  <si>
    <t>Business Rates</t>
  </si>
  <si>
    <t>Actual Value</t>
  </si>
  <si>
    <t>Water Rates</t>
  </si>
  <si>
    <t>Premises Related per m2 (NCA)</t>
  </si>
  <si>
    <t>per m2</t>
  </si>
  <si>
    <t>Premises M2 Table of sub-Factors</t>
  </si>
  <si>
    <t>Grounds Related per 100m2</t>
  </si>
  <si>
    <t>per 100m2</t>
  </si>
  <si>
    <t>Fuel</t>
  </si>
  <si>
    <t>Ex Property Services + Legionella</t>
  </si>
  <si>
    <t>Total</t>
  </si>
  <si>
    <t xml:space="preserve">Business Rates &amp; Water rates are funded at actual costs. Note water useage is funded through other factors. </t>
  </si>
  <si>
    <t>Note that premises m2 is the net capacity assessment figure and is aprox 30% less than the raw footprint area m2. A table of sub-factors is maintained that describes the funding for the different components funded by this factor See the table on the right</t>
  </si>
  <si>
    <t>Grounds 100m2 measurement is as determined by the Council</t>
  </si>
  <si>
    <t>Note - there are also premises costs contained in the AWPU and lump sum sub-factors</t>
  </si>
  <si>
    <t xml:space="preserve">School-Specific Factors (including pupil led) (25) </t>
  </si>
  <si>
    <t>Infant</t>
  </si>
  <si>
    <t>Junior</t>
  </si>
  <si>
    <t>Administration &amp; Clerical</t>
  </si>
  <si>
    <t>Lump Sum per School Type  -Infant &amp; Primary</t>
  </si>
  <si>
    <t>I &amp; Pri</t>
  </si>
  <si>
    <t>Ex-pupil Retention Grant</t>
  </si>
  <si>
    <t>counted elsewhere above</t>
  </si>
  <si>
    <t>Lump Sum per School Type - Junior</t>
  </si>
  <si>
    <t>Jun</t>
  </si>
  <si>
    <t>Support for Statemented Pupils</t>
  </si>
  <si>
    <t>Small School Curriculum Protection</t>
  </si>
  <si>
    <t>Calculated</t>
  </si>
  <si>
    <t>Site Mgt &amp; Mtce</t>
  </si>
  <si>
    <t>BMP - Revenue Mtce - if qualify</t>
  </si>
  <si>
    <t>m2</t>
  </si>
  <si>
    <t>Significant Change of Character No. of Pupils</t>
  </si>
  <si>
    <t>ICT - Broadband Connectivity</t>
  </si>
  <si>
    <t>SM Cleaning Equipment</t>
  </si>
  <si>
    <t>Lump Sum per School Type</t>
  </si>
  <si>
    <t>SM Security</t>
  </si>
  <si>
    <t>Night Cleaning Top-up - If Eligible (M2)</t>
  </si>
  <si>
    <t>SM Relief Caretaker</t>
  </si>
  <si>
    <t>SM Finance</t>
  </si>
  <si>
    <t>SM CATT</t>
  </si>
  <si>
    <t xml:space="preserve">Lump Sum - This containd a number of sub-factors - including some premises related factors - see table on the right. For 2008-09 there is no longer a separate lump sum for schools with sixth forms - All funding relevant to post-16 is provided within the LSC grant. </t>
  </si>
  <si>
    <t xml:space="preserve">Small School Curriculum Protection Factor: payable to primary schools that are relatively small - circa 1FE on a sliding scale. An index is calculated and multipled by the unit rate which is the teacher and mgt elements from the AWPU table above. There is no such factor for secondary schools. </t>
  </si>
  <si>
    <t xml:space="preserve">Night Cleaning top-up - only awarded where normal cleaning tender received no bidders, so cleaning has to be done during the night - at present 2 schools only - Heart of England &amp; Arden.  The unit value is the same value as the cleaning component from the m2 premises factor - in other words this facto "doubles" up the amount allocated for cleaning. </t>
  </si>
  <si>
    <t xml:space="preserve">Significant change of character - where school expected to receive rapid pupil growth top up for increased roll at September. Also where school decreasing in size. Only used where school has a statutory notice approved - is not used as a general funding factor for rising or falling rolls. </t>
  </si>
  <si>
    <t>BMP Delegation - new from April 2010, funding previously held centrally for major buildings repairs e.g. heating and roofing. Now delegated to schools. Schools covered by PFI contracts or the North Regeneration new build programme are excluded, as an element of this funding was used to fund the ongoing mtce (PFI) or new build cost (Regeneration primary schools).</t>
  </si>
  <si>
    <t>BUDGET ADJUSTMENTS  (26)</t>
  </si>
  <si>
    <t>TRANSITIONAL PROVISION (27)</t>
  </si>
  <si>
    <t xml:space="preserve">ABATEMENT OF Secondary (11-16) FUNDING arising from operation of the LA's formula (28)  </t>
  </si>
  <si>
    <t xml:space="preserve">For 2006-07 this factor was substantially modified, so that it can be fairly applied to new schools and newly established sixth forms. </t>
  </si>
  <si>
    <t>The calculation is now based on: the proportion of sixth form pupils as a % of the total roll (using January 2010 census) times the total of the following factors:</t>
  </si>
  <si>
    <t>Lump sum + Business &amp; water rates + Premises m2 + grounds mtce 100m2 + night cleaning</t>
  </si>
  <si>
    <t xml:space="preserve">Therefore it now truly reflects double funding of premises factors and fixed cost funding. </t>
  </si>
  <si>
    <t xml:space="preserve">MINIMUM FUNDING GUARANTEE (29) </t>
  </si>
  <si>
    <t>As per the regulations</t>
  </si>
  <si>
    <t xml:space="preserve">TOTAL FUNDS AVAILABLE TO MAINSTREAM SCHOOLS  (30)  </t>
  </si>
  <si>
    <t>SPECIAL SCHOOLS   (31)</t>
  </si>
  <si>
    <t>SPECIAL SCHOOLS PLACE VALUES</t>
  </si>
  <si>
    <t>PLACE VALUES:</t>
  </si>
  <si>
    <t>7P</t>
  </si>
  <si>
    <t>7S</t>
  </si>
  <si>
    <t>8P</t>
  </si>
  <si>
    <t>8S</t>
  </si>
  <si>
    <t>9S</t>
  </si>
  <si>
    <t>12S</t>
  </si>
  <si>
    <t>10P</t>
  </si>
  <si>
    <t>10S</t>
  </si>
  <si>
    <t>11P</t>
  </si>
  <si>
    <t>11S</t>
  </si>
  <si>
    <t>Totals</t>
  </si>
  <si>
    <t>PLACE-LED FUNDING (32)</t>
  </si>
  <si>
    <t>Teacher Salaries</t>
  </si>
  <si>
    <t>Teacher Integration</t>
  </si>
  <si>
    <t>Purchased Places</t>
  </si>
  <si>
    <t>Teacher Supply</t>
  </si>
  <si>
    <t>Teacher Allowances &amp; other Mgt</t>
  </si>
  <si>
    <t>Personalisation</t>
  </si>
  <si>
    <t>Other Mgt</t>
  </si>
  <si>
    <t>Ex NQT Grant</t>
  </si>
  <si>
    <t>Unfunded Leadership (TWR)</t>
  </si>
  <si>
    <t>Ex Teacher Pay Grants 3/3 Formula</t>
  </si>
  <si>
    <t>SSA Supply</t>
  </si>
  <si>
    <t>Special</t>
  </si>
  <si>
    <t>SSA</t>
  </si>
  <si>
    <t>SSA Integration</t>
  </si>
  <si>
    <t>Midday Supervision</t>
  </si>
  <si>
    <t>Administrative Support Staff</t>
  </si>
  <si>
    <t>Majority of funding is delivered through purchased places; formula maintains a sub-analysis of the build up of each place value, where the key element is the way the place funding is based on staffing ratios of teachers and support assistants based on average funded salary levels. See table on right.</t>
  </si>
  <si>
    <t>Other Employee Expenses</t>
  </si>
  <si>
    <t>PUPIL-LED FUNDING (33)</t>
  </si>
  <si>
    <t>Life Support Materials</t>
  </si>
  <si>
    <t>Examinations</t>
  </si>
  <si>
    <t>Administration Costs</t>
  </si>
  <si>
    <t>IT Hardware Replacement</t>
  </si>
  <si>
    <t>IT Hardware Mtce</t>
  </si>
  <si>
    <t>SM Inset</t>
  </si>
  <si>
    <t>SM Central Supply</t>
  </si>
  <si>
    <t>SM Swimming Instruction</t>
  </si>
  <si>
    <t>Non SM cost/place</t>
  </si>
  <si>
    <t xml:space="preserve">AEN - LEARNING NEEDS ASSOCIATED WITH EAL   (34) </t>
  </si>
  <si>
    <t>SM cost/place</t>
  </si>
  <si>
    <t>Total per place</t>
  </si>
  <si>
    <t xml:space="preserve">AEN - SOCIAL NEED   (35) </t>
  </si>
  <si>
    <t>Free School Meal Eligibility Jan 2009</t>
  </si>
  <si>
    <t>Free School Meal Take Up Jan 2009</t>
  </si>
  <si>
    <t>IDACI Index Jan 2009</t>
  </si>
  <si>
    <t xml:space="preserve">Following the review of deprivation funding during 2007-08, Special schools wil receive a share of funding specifically designated to meet social needs. </t>
  </si>
  <si>
    <t xml:space="preserve">Free Meal eligibility - the numbers of pupils aged 4 to 15 times the unit rate as at Jan 2009 Census. </t>
  </si>
  <si>
    <t>Free School Meal Take-Up - the numbers of pupils that had a FSM as at Jan2009 census - used to fund the admin &amp; energy costs of catering free meals.</t>
  </si>
  <si>
    <t xml:space="preserve">SITE - SPECIFIC FACTORS (Including pupil-led)   (36) </t>
  </si>
  <si>
    <t>Actuals</t>
  </si>
  <si>
    <t>Grounds per 100m2</t>
  </si>
  <si>
    <t>100m2</t>
  </si>
  <si>
    <t>Premises m2</t>
  </si>
  <si>
    <t xml:space="preserve">Water Rates - the non-variable element is funded at actual values. </t>
  </si>
  <si>
    <t>Premises m2 is the whole floor area, as determined by the Council, and is reviewed annually. This is different as to mainstream schools as there is no NCA for special schools. The formula maintains sub-factors for the nature of the m2 value - see the table on the right</t>
  </si>
  <si>
    <t>Note - there are also premises related factors allocated through the base allowance and within the purchased place values - see tables below.</t>
  </si>
  <si>
    <t xml:space="preserve">SCHOOL - SPECIFIC FACTORS (Including pupil-led)   (37) </t>
  </si>
  <si>
    <t>SCHOOL BUDGET SHARES  2010-11 (v4)</t>
  </si>
  <si>
    <t>Forest Oak</t>
  </si>
  <si>
    <t>Hazel Oak</t>
  </si>
  <si>
    <t>Lanchester</t>
  </si>
  <si>
    <t>Merstone</t>
  </si>
  <si>
    <t>Reynalds Cross</t>
  </si>
  <si>
    <t>1:1 special Support</t>
  </si>
  <si>
    <t>Actual Cost</t>
  </si>
  <si>
    <t>Various</t>
  </si>
  <si>
    <t>BASE ALLOCATIONS</t>
  </si>
  <si>
    <t>(MLD)</t>
  </si>
  <si>
    <t>(EBD)</t>
  </si>
  <si>
    <t>(SLD)</t>
  </si>
  <si>
    <t>Lump Sum per School Type (MLD, SLD,EBD etc)</t>
  </si>
  <si>
    <t>MLD/EBD/SLD</t>
  </si>
  <si>
    <t>See Table on the right</t>
  </si>
  <si>
    <t>Head &amp; Deputy</t>
  </si>
  <si>
    <t>Other Management</t>
  </si>
  <si>
    <t xml:space="preserve">1:1 Special Support - where a pupil's characteristics do not fit the normal per place funding band, the LA can agree additional 1:1 special support assistant. Funding is typically short-term. Top-up funding is after deduction for any empty places times the number of weeks (as a proportion of 38 weeks) they were empty.  At the start of the year an inital estimate is posited within the budget, but this is adjusted in-year on an actuals basis. </t>
  </si>
  <si>
    <t>Caretaker</t>
  </si>
  <si>
    <t>Note that for 2008-09 this funding will be held centrally on line 1.2.1 of table 1 until a satisfactory delegation mechanism can be established.</t>
  </si>
  <si>
    <t>Building Maint</t>
  </si>
  <si>
    <t xml:space="preserve">Lump sums - see table on the right. Note that this includes elements of premises factors. </t>
  </si>
  <si>
    <t>Other Premises</t>
  </si>
  <si>
    <t>Life Support Equipment</t>
  </si>
  <si>
    <t>IT - Connectivity</t>
  </si>
  <si>
    <t>SM Relief Caretaking</t>
  </si>
  <si>
    <t>MINIMUM FUNDING GUARANTEE (39)</t>
  </si>
  <si>
    <t>TOTAL FUNDS AVAILABLE TO SPECIAL SCHOOLS   (40)</t>
  </si>
  <si>
    <t>TOTAL FUNDS AVAILABLE TO ALL SCHOOLS    (41)</t>
  </si>
  <si>
    <t>All Schools</t>
  </si>
  <si>
    <r>
      <t xml:space="preserve">Age group </t>
    </r>
    <r>
      <rPr>
        <i/>
        <sz val="8"/>
        <rFont val="Arial"/>
        <family val="2"/>
      </rPr>
      <t xml:space="preserve"> </t>
    </r>
    <r>
      <rPr>
        <sz val="8"/>
        <rFont val="Arial"/>
        <family val="2"/>
      </rPr>
      <t>(pupils’ ages as at 31</t>
    </r>
    <r>
      <rPr>
        <vertAlign val="superscript"/>
        <sz val="8"/>
        <rFont val="Arial"/>
        <family val="2"/>
      </rPr>
      <t>st</t>
    </r>
    <r>
      <rPr>
        <sz val="8"/>
        <rFont val="Arial"/>
        <family val="2"/>
      </rPr>
      <t xml:space="preserve"> August 2010)</t>
    </r>
  </si>
  <si>
    <r>
      <t xml:space="preserve">BUDGET ADJUSTMENTS </t>
    </r>
    <r>
      <rPr>
        <sz val="9"/>
        <color indexed="8"/>
        <rFont val="Arial"/>
        <family val="2"/>
      </rPr>
      <t xml:space="preserve"> e.g transitional provision     (38) </t>
    </r>
  </si>
  <si>
    <t>Do not delete
this column</t>
  </si>
  <si>
    <t>TABLE 3b: FUNDING PERIOD 3 (2010-11)</t>
  </si>
  <si>
    <t xml:space="preserve">Children, Schools and Families Financial Data Collection </t>
  </si>
  <si>
    <t>Table 3b - School Level Information</t>
  </si>
  <si>
    <t>Table 3b</t>
  </si>
  <si>
    <t>Place-led funding</t>
  </si>
  <si>
    <t>Pupil-led Funding</t>
  </si>
  <si>
    <t xml:space="preserve">AEN -Learning needs associated with EAL         </t>
  </si>
  <si>
    <t>AEN -Social Need</t>
  </si>
  <si>
    <t xml:space="preserve">Site-specific factors  (including pupil-led)  </t>
  </si>
  <si>
    <t xml:space="preserve">School-specific factors (including pupil led) </t>
  </si>
  <si>
    <t>Budget adjustments</t>
  </si>
  <si>
    <t>(14)
Minimum Funding Guarantee</t>
  </si>
  <si>
    <t>(15)
TOTAL BUDGET SHARE</t>
  </si>
  <si>
    <t>(15a) THIS COLUMN SHOULD BE HIDDEN. THIS IS PURELY FOR USE IN VALIDATING COLUMN 15</t>
  </si>
  <si>
    <t>(15b) THIS COLUMN SHOULD BE HIDDEN. THIS IS PURELY FOR USE IN VALIDATING COLUMN 3</t>
  </si>
  <si>
    <t>Special schools</t>
  </si>
  <si>
    <t>(16) Total places</t>
  </si>
  <si>
    <t>(3) Total Place-led funding</t>
  </si>
  <si>
    <t xml:space="preserve">(4) Total Pupil-led funding  </t>
  </si>
  <si>
    <t xml:space="preserve">(6)  Total AEN -Learning needs associated with EAL    </t>
  </si>
  <si>
    <t>Deprivation &amp; Personalisation - FSM Eligibility</t>
  </si>
  <si>
    <t>Catering Free Meals - FSM Take Up</t>
  </si>
  <si>
    <t>Deprivation &amp; Personalisation - IDACI Index</t>
  </si>
  <si>
    <t>(10) Total AEN -Social Need</t>
  </si>
  <si>
    <t>Grounds Mtce per 100m2</t>
  </si>
  <si>
    <t>Premises Costs per m2</t>
  </si>
  <si>
    <t xml:space="preserve">(11) Total Site-specific factors  (including pupil-led)  </t>
  </si>
  <si>
    <t>1:1 special Support Estimate</t>
  </si>
  <si>
    <t>New Buildings Mtce Delegation - If Eligible (M2)</t>
  </si>
  <si>
    <t xml:space="preserve">(12) Total School-specific factors (including pupil led) </t>
  </si>
  <si>
    <t>Transitional provision</t>
  </si>
  <si>
    <t>(13)
Total budget adjustments</t>
  </si>
  <si>
    <t>Sorting column for Authorities own use</t>
  </si>
  <si>
    <t>Unit value (£)</t>
  </si>
  <si>
    <t>At Actual Cost</t>
  </si>
  <si>
    <t>(1) School name</t>
  </si>
  <si>
    <t>(2) DCSF number</t>
  </si>
  <si>
    <t>Places</t>
  </si>
  <si>
    <t>£</t>
  </si>
  <si>
    <t>(1)</t>
  </si>
  <si>
    <t>(2)</t>
  </si>
  <si>
    <t>(3)</t>
  </si>
  <si>
    <t>(4)</t>
  </si>
  <si>
    <t>(6)</t>
  </si>
  <si>
    <t>(10)</t>
  </si>
  <si>
    <t>(11)</t>
  </si>
  <si>
    <t>(12)</t>
  </si>
  <si>
    <t>(13)</t>
  </si>
  <si>
    <t>(14)</t>
  </si>
  <si>
    <t>(15)</t>
  </si>
  <si>
    <t>(16)</t>
  </si>
  <si>
    <t>Hazel Oak School</t>
  </si>
  <si>
    <t>Reynalds Cross School</t>
  </si>
  <si>
    <t>Forest Oak School</t>
  </si>
  <si>
    <t>Merstone School</t>
  </si>
  <si>
    <t>Lanchester School</t>
  </si>
  <si>
    <t>Special Total</t>
  </si>
  <si>
    <t>TABLE 3a: FUNDING PERIOD 3 (2010-11)</t>
  </si>
  <si>
    <t xml:space="preserve">Children, Schools and Families Financial Data Collection  </t>
  </si>
  <si>
    <t>Table 3a - School Level Information</t>
  </si>
  <si>
    <t>Tel No</t>
  </si>
  <si>
    <t>28 July 2009</t>
  </si>
  <si>
    <t>Table 3a</t>
  </si>
  <si>
    <t>Additional Pupil Led Funding</t>
  </si>
  <si>
    <t>LSC Funding</t>
  </si>
  <si>
    <t>AEN-Learning needs associated with EAL</t>
  </si>
  <si>
    <t>AEN - identified Special educational needs (pupil led)</t>
  </si>
  <si>
    <t>(8) Total AEN - identified Special educational needs (non-pupil led)</t>
  </si>
  <si>
    <t>AEN - Other learning needs</t>
  </si>
  <si>
    <t xml:space="preserve">AEN -Social Need </t>
  </si>
  <si>
    <t>Site-specific factors(including pupil led )</t>
  </si>
  <si>
    <t>School-specific factors(including pupil led)</t>
  </si>
  <si>
    <t>Nursery / Primary / Secondary schools</t>
  </si>
  <si>
    <t>nursery 3 yr olds</t>
  </si>
  <si>
    <t>nursery 4 yr olds</t>
  </si>
  <si>
    <t>Year 1</t>
  </si>
  <si>
    <t>Year 2</t>
  </si>
  <si>
    <t>Year 3</t>
  </si>
  <si>
    <t>Year 4</t>
  </si>
  <si>
    <t>Year 5</t>
  </si>
  <si>
    <t>Year 6</t>
  </si>
  <si>
    <t>Year 7</t>
  </si>
  <si>
    <t>Year 8</t>
  </si>
  <si>
    <t>Year 9</t>
  </si>
  <si>
    <t>Year 10</t>
  </si>
  <si>
    <t>Year 11</t>
  </si>
  <si>
    <t>Retakes
(Year 12+)</t>
  </si>
  <si>
    <t>(28)
LSC Pupils
(Jan 2010)</t>
  </si>
  <si>
    <t>(16)
Total January 2010 Pupil Count (FTE registered pupils)</t>
  </si>
  <si>
    <t>(3)
Total age-weighted funding</t>
  </si>
  <si>
    <t>Pre-School Place Led Funding  (Nursery Classes 3 &amp; 4 year olds)</t>
  </si>
  <si>
    <t>KS1 Alternative Funding Routes</t>
  </si>
  <si>
    <t xml:space="preserve"> Difference in Funding For Pupils educated additionally at FE colleges, WBLP or Providers of more practical learning options</t>
  </si>
  <si>
    <t>Local Authority "Top-up" for Sixth Form Pupils</t>
  </si>
  <si>
    <t>Other Place led Funding (treated as Pupil Led)</t>
  </si>
  <si>
    <t>(4)
Total Additional Pupil Led Funding</t>
  </si>
  <si>
    <t>LSC Grant Allocation Funding Sixth Form Pupils</t>
  </si>
  <si>
    <t>(5)
Total LSC Funding</t>
  </si>
  <si>
    <t>(6)
Total AEN Learning needs associated with EAL</t>
  </si>
  <si>
    <t>Pupils with or without statements (pupil-led)</t>
  </si>
  <si>
    <t>Pupils with or without statements (place-led treated as pupil-led)</t>
  </si>
  <si>
    <t xml:space="preserve">(7)  Total AEN - Identified Special Educational Needs (pupil-led) </t>
  </si>
  <si>
    <t>Personalised Learning - Prior Attainment</t>
  </si>
  <si>
    <t>Personalised Learning -  IDACI Index</t>
  </si>
  <si>
    <t>(9)  Total AEN - Other learning needs</t>
  </si>
  <si>
    <t>ExCom Facility - EU Grant project</t>
  </si>
  <si>
    <t>Premises Related per m2 (Net Capacity Assessment measure - net area)</t>
  </si>
  <si>
    <t>(11)
Total Site-specific factors (including pupil led)</t>
  </si>
  <si>
    <t>(12)
Total School-specific factors (including pupil led)</t>
  </si>
  <si>
    <t>Class -Based</t>
  </si>
  <si>
    <t>Ghost-Funding</t>
  </si>
  <si>
    <t>Named pupil individually assigned resources</t>
  </si>
  <si>
    <t>Proxy for High Incidence &amp; Low Cost SEN</t>
  </si>
  <si>
    <t>Proxy for School Action &amp; Action +</t>
  </si>
  <si>
    <t>SEN Unit</t>
  </si>
  <si>
    <t>Unit value Nursery (£)</t>
  </si>
  <si>
    <t>Place-Led or Pupil-Led Funding</t>
  </si>
  <si>
    <t>Unit value Primary (£)</t>
  </si>
  <si>
    <t>By Nsy Size</t>
  </si>
  <si>
    <t>2 Rates</t>
  </si>
  <si>
    <t>Calc</t>
  </si>
  <si>
    <t>Actual</t>
  </si>
  <si>
    <t>2 Values (I/J&amp;P)</t>
  </si>
  <si>
    <t>Unit value Secondary (£)</t>
  </si>
  <si>
    <t>Place/
pupil
led</t>
  </si>
  <si>
    <t>Pupils</t>
  </si>
  <si>
    <t>(5)</t>
  </si>
  <si>
    <t>(7)</t>
  </si>
  <si>
    <t>(8)</t>
  </si>
  <si>
    <t>(9)</t>
  </si>
  <si>
    <t>(28)</t>
  </si>
  <si>
    <t>Pupil-Led</t>
  </si>
  <si>
    <t>Nursery Total</t>
  </si>
  <si>
    <t>Blossomfield Infant and Nursery School</t>
  </si>
  <si>
    <t>Burman Infant School</t>
  </si>
  <si>
    <t>Coppice Junior School</t>
  </si>
  <si>
    <t>Cranmore Infant School</t>
  </si>
  <si>
    <t>Daylesford Infant School</t>
  </si>
  <si>
    <t>Dorridge Junior School</t>
  </si>
  <si>
    <t>Dorridge Nursery and Infant School</t>
  </si>
  <si>
    <t>Haslucks Green School</t>
  </si>
  <si>
    <t>Hatchford Brook Junior and Infant School</t>
  </si>
  <si>
    <t>Kineton Green Primary School</t>
  </si>
  <si>
    <t>Sharmans Cross Junior School</t>
  </si>
  <si>
    <t>Shirley Heath Junior School</t>
  </si>
  <si>
    <t>Streetsbrook Infant and Nursery School</t>
  </si>
  <si>
    <t>Valley Infant School</t>
  </si>
  <si>
    <t>Woodlands Infant School</t>
  </si>
  <si>
    <t>Widney Junior School</t>
  </si>
  <si>
    <t>Damson Wood Nursery and Infant School</t>
  </si>
  <si>
    <t>Oak Cottage Primary School</t>
  </si>
  <si>
    <t>MILL Lodge Primary School</t>
  </si>
  <si>
    <t>Yew Tree Nursery Infant and Junior School</t>
  </si>
  <si>
    <t>Balsall Common Primary School</t>
  </si>
  <si>
    <t>Marston Green Junior School</t>
  </si>
  <si>
    <t>Hockley Heath Primary School</t>
  </si>
  <si>
    <t>Tidbury Green School</t>
  </si>
  <si>
    <t>Castle Bromwich Junior School</t>
  </si>
  <si>
    <t>Castle Bromwich Infant School</t>
  </si>
  <si>
    <t>Bennetts Well Junior and Infant School</t>
  </si>
  <si>
    <t>Alcott Hall Junior and Infant School</t>
  </si>
  <si>
    <t>Coleshill Heath School</t>
  </si>
  <si>
    <t>Windy Arbor Junior and Infant School</t>
  </si>
  <si>
    <t>Marston Green Infant School</t>
  </si>
  <si>
    <t>Cheswick Green Primary School</t>
  </si>
  <si>
    <t>Peterbrook Primary School</t>
  </si>
  <si>
    <t>Chapel Fields Junior School</t>
  </si>
  <si>
    <t>Yorkswood Primary School</t>
  </si>
  <si>
    <t>Ulverley School</t>
  </si>
  <si>
    <t>Greswold Primary School</t>
  </si>
  <si>
    <t>Langley Primary School</t>
  </si>
  <si>
    <t>Bosworth Wood Primary School</t>
  </si>
  <si>
    <t>Monkspath Junior and Infant School</t>
  </si>
  <si>
    <t>Dickens Heath Community Primary School</t>
  </si>
  <si>
    <t>Meriden Church of England Primary School</t>
  </si>
  <si>
    <t>Bentley Heath Church of England Primary School</t>
  </si>
  <si>
    <t>Knowle Church of England Primary School</t>
  </si>
  <si>
    <t>St Margaret's Church of England Voluntary Aided Primary School</t>
  </si>
  <si>
    <t>St Alphege Church of England Infant and Nursery School</t>
  </si>
  <si>
    <t>St James Church of England Voluntary Aided Junior School</t>
  </si>
  <si>
    <t>St Alphege Church of England Junior School</t>
  </si>
  <si>
    <t>Berkswell Church of England Voluntary Aided Primary School</t>
  </si>
  <si>
    <t>George Fentham Endowed School</t>
  </si>
  <si>
    <t>Lady Katherine Leveson Church of England School</t>
  </si>
  <si>
    <t>St Patrick's CofE (Aided) Junior and Infant School</t>
  </si>
  <si>
    <t>St Mary and St Margaret's Church of England Aided Primary School</t>
  </si>
  <si>
    <t>Our Lady of the Wayside Catholic Primary School</t>
  </si>
  <si>
    <t>St Andrew's Catholic Primary School</t>
  </si>
  <si>
    <t>St Augustine's Catholic Primary School</t>
  </si>
  <si>
    <t>St George and St Teresa Catholic Primary School</t>
  </si>
  <si>
    <t>Our Lady of Compassion Catholic Primary School</t>
  </si>
  <si>
    <t>St Anthony's Catholic Primary School</t>
  </si>
  <si>
    <t>St Anne's Catholic Primary School</t>
  </si>
  <si>
    <t>Bishop Wilson Church of England Primary School</t>
  </si>
  <si>
    <t>St John the Baptist Catholic Primary School</t>
  </si>
  <si>
    <t>Kingshurst Primary School</t>
  </si>
  <si>
    <t>Hatchford Community Primary School</t>
  </si>
  <si>
    <t>Primary Total (excluding middle deemed)</t>
  </si>
  <si>
    <t xml:space="preserve">Primary Middle Deemed </t>
  </si>
  <si>
    <t>Middle Deemed Primary Total</t>
  </si>
  <si>
    <t>No validation required</t>
  </si>
  <si>
    <t xml:space="preserve"> Primary Total</t>
  </si>
  <si>
    <t>Funding for SEN primary pupils with SEN in receipt of individually assigned resources in Academies</t>
  </si>
  <si>
    <t>Specialist College for the Performing Arts, Languages and Training</t>
  </si>
  <si>
    <t>Tudor Grange School</t>
  </si>
  <si>
    <t>Alderbrook Leading Edge School and Arts College</t>
  </si>
  <si>
    <t>Arden School</t>
  </si>
  <si>
    <t>Specialist Mathematics and Computing College</t>
  </si>
  <si>
    <t>Lode Heath School</t>
  </si>
  <si>
    <t>Lyndon School Humanities College</t>
  </si>
  <si>
    <t>Heart of England School</t>
  </si>
  <si>
    <t>Park Hall School</t>
  </si>
  <si>
    <t>Smith's Wood Sports College</t>
  </si>
  <si>
    <t>St Peter's Catholic School and Specialist Science College</t>
  </si>
  <si>
    <t>The Archbishop Grimshaw Catholic School</t>
  </si>
  <si>
    <t>Secondary Total (excluding middle deemed)</t>
  </si>
  <si>
    <t xml:space="preserve"> Secondary Middle Deemed</t>
  </si>
  <si>
    <t>Middle Deemed Secondary Total</t>
  </si>
  <si>
    <t>Secondary Total</t>
  </si>
  <si>
    <t>Funding for SEN secondary pupils with SEN in receipt of individually assigned resources in Academies</t>
  </si>
  <si>
    <r>
      <t xml:space="preserve">Pupils funded by year/age groups - age-weighted funding </t>
    </r>
    <r>
      <rPr>
        <b/>
        <sz val="9"/>
        <color indexed="10"/>
        <rFont val="Arial"/>
        <family val="2"/>
      </rPr>
      <t>[PLEASE NOTE THAT ADDITIONAL BLANK COLUMNS HAVE BEEN PROVIDED IN THIS SECTION TO ASSIST YOU SHOULD YOU REQUIRE TO INCLUDE ADDITIONAL UNIT VALUES AND PUPIL NUMBERS]</t>
    </r>
  </si>
  <si>
    <t>*</t>
  </si>
  <si>
    <t>TABLE 2: FUNDING PERIOD 3 (2010-11)</t>
  </si>
  <si>
    <t>Table 2 - School Level Information</t>
  </si>
  <si>
    <t>Local Authority
Name</t>
  </si>
  <si>
    <t xml:space="preserve">Local Authority Number </t>
  </si>
  <si>
    <t>(6)
Total AEN- Learning needs associated with EAL</t>
  </si>
  <si>
    <t xml:space="preserve">(7)
Total AEN - Identified Special Educational Needs (pupil-led)   </t>
  </si>
  <si>
    <t xml:space="preserve">(8)
Total Identified Special Educational Needs (non pupil-led)  </t>
  </si>
  <si>
    <t xml:space="preserve">(9)
Total AEN - Other learning needs   </t>
  </si>
  <si>
    <t>(10)
Total AEN -Social Need</t>
  </si>
  <si>
    <t xml:space="preserve">(11)
Total Site-specific factors  (Including pupil-led)       </t>
  </si>
  <si>
    <t xml:space="preserve">(12)
Total School-specific factors (including pupil-led) </t>
  </si>
  <si>
    <t xml:space="preserve">(14)
Minimum funding guarantee </t>
  </si>
  <si>
    <t>(15) TOTAL BUDGET SHARE</t>
  </si>
  <si>
    <t>(18) MFG VARIATION APPLIED?</t>
  </si>
  <si>
    <t>Memorandum Items</t>
  </si>
  <si>
    <t>Grants</t>
  </si>
  <si>
    <t>Other</t>
  </si>
  <si>
    <t>(19)
SCHOOL STANDARDS GRANT</t>
  </si>
  <si>
    <t>(20)
SCHOOL
STANDARDS
GRANT (PERSONALISATION)</t>
  </si>
  <si>
    <t>(22)
SCHOOL DEVELOPMENT GRANT - MAIN 2010-11</t>
  </si>
  <si>
    <t>(23)
SCHOOL DEVELOPMENT GRANT - OTHER 2010-11</t>
  </si>
  <si>
    <t xml:space="preserve">(24)
OTHER STANDARDS FUND ALLOCATION          </t>
  </si>
  <si>
    <t>(25)
THRESHOLD AND PERFORMANCE PAY</t>
  </si>
  <si>
    <t>(26)
SUPPORT FOR SCHOOLS IN FINANCIAL DIFFICULTY</t>
  </si>
  <si>
    <t>(27)
NOTIONAL SEN BUDGET</t>
  </si>
  <si>
    <t xml:space="preserve">(28)
LSC Pupils (January 2010) </t>
  </si>
  <si>
    <t>(29)
SCHOOL OPENING / CLOSING</t>
  </si>
  <si>
    <t>(30) 
DATE OPENING / CLOSING</t>
  </si>
  <si>
    <t>(2) DCSF Number</t>
  </si>
  <si>
    <t xml:space="preserve"> £</t>
  </si>
  <si>
    <t>(16)                        January 2010 Pupil Count (FTE registered pupils)</t>
  </si>
  <si>
    <t>(17)
£ per pupil</t>
  </si>
  <si>
    <t>IF A VARIATION HAS BEEN APPLIED FOR ANY OF YOUR SCHOOLS CAN YOU PLEASE PROVIDE MORE INFORMATION IN THE NOTES AREA TO THIS TABLE</t>
  </si>
  <si>
    <t>C OR O</t>
  </si>
  <si>
    <t>dd mmm yy</t>
  </si>
  <si>
    <t>Hidden column to check Errors 3.3.1 and 3.3.2</t>
  </si>
  <si>
    <t>Nursery Schools</t>
  </si>
  <si>
    <t>(31) Total/average Nursery Schools</t>
  </si>
  <si>
    <t>Primary Schools</t>
  </si>
  <si>
    <t>No Variation Applied</t>
  </si>
  <si>
    <t>C</t>
  </si>
  <si>
    <t>Middle Deemed Primary Schools</t>
  </si>
  <si>
    <t>(32) Total/average Primary Schools</t>
  </si>
  <si>
    <t>Secondary Schools</t>
  </si>
  <si>
    <t>Middle Deemed Secondary Schools</t>
  </si>
  <si>
    <t>(33) Total/average Secondary Schools</t>
  </si>
  <si>
    <t xml:space="preserve"> (3)
Total place-led funding</t>
  </si>
  <si>
    <t>(4)
Total Pupil-led Funding</t>
  </si>
  <si>
    <t>dd mm yy</t>
  </si>
  <si>
    <t>(34) Total/average Special Schools</t>
  </si>
  <si>
    <t>(35) Total All Schools</t>
  </si>
  <si>
    <t>Memorandum items</t>
  </si>
  <si>
    <t>(36) Academy Funding for SEN pupils that would normally be delegated</t>
  </si>
  <si>
    <t>(37)Total ISB</t>
  </si>
  <si>
    <t>(38) Academy Specific Grants</t>
  </si>
  <si>
    <t>(39) Unallocated Specific Grants</t>
  </si>
  <si>
    <t>(40)  Total Specific Grants</t>
  </si>
  <si>
    <t>(41) Unallocated Threshold and Performance Pay</t>
  </si>
  <si>
    <t>(42) Total Threshold and Performance Pay</t>
  </si>
  <si>
    <t>(43) Unallocated funding to support schools in financial difficulties</t>
  </si>
  <si>
    <t>(44) Total funding for schools in financial difficulty</t>
  </si>
  <si>
    <t>TABLE 2 Notes</t>
  </si>
  <si>
    <t>TABLE 2 Comments</t>
  </si>
  <si>
    <t>Note that the information you provide in this section will be taken into account when returned to DCSF</t>
  </si>
  <si>
    <t>Note that the information you provide in this section will be taken into account when returned to DCSF.</t>
  </si>
  <si>
    <t>Line 35 - compared to 2009-10 excludes primary or secondary strategy funding</t>
  </si>
  <si>
    <t>TABLE 1: FUNDING PERIOD 3 (2010-11)</t>
  </si>
  <si>
    <t>Table 1 - Local Authority Information</t>
  </si>
  <si>
    <t>Gross</t>
  </si>
  <si>
    <t>Income</t>
  </si>
  <si>
    <t>Net</t>
  </si>
  <si>
    <t>Actual
change</t>
  </si>
  <si>
    <t>SCHOOLS BUDGET</t>
  </si>
  <si>
    <t>(a)</t>
  </si>
  <si>
    <t>(b)</t>
  </si>
  <si>
    <t>(c)</t>
  </si>
  <si>
    <t>(d)</t>
  </si>
  <si>
    <t>(e)</t>
  </si>
  <si>
    <t>(f)</t>
  </si>
  <si>
    <t>(g)</t>
  </si>
  <si>
    <t>1.0.1</t>
  </si>
  <si>
    <t>Individual Schools Budget</t>
  </si>
  <si>
    <t>1.0.2</t>
  </si>
  <si>
    <t>School Standards Grant - Maintained Schools</t>
  </si>
  <si>
    <t>1.0.3</t>
  </si>
  <si>
    <t>School Standards Grant - Pupil Referral Units</t>
  </si>
  <si>
    <t>1.0.4</t>
  </si>
  <si>
    <t xml:space="preserve">School Standards Grant (Personalisation) - Maintained Schools </t>
  </si>
  <si>
    <t>1.0.5</t>
  </si>
  <si>
    <t>School Standards Grant (Personalisation) - Pupil Referral Units</t>
  </si>
  <si>
    <t>1.0.6</t>
  </si>
  <si>
    <t>School Development Grant</t>
  </si>
  <si>
    <t>1.0.7</t>
  </si>
  <si>
    <t>Other Standards Fund Allocation - Devolved</t>
  </si>
  <si>
    <t>1.0.8</t>
  </si>
  <si>
    <t>Threshold and Performance Pay (Devolved)</t>
  </si>
  <si>
    <t>1.0.9</t>
  </si>
  <si>
    <t>Expenditure for Education of Children under 5s in Private/voluntary/independent settings</t>
  </si>
  <si>
    <t>1.1.1</t>
  </si>
  <si>
    <t>Support for schools in financial difficulty</t>
  </si>
  <si>
    <t>1.1.2</t>
  </si>
  <si>
    <t>School-specific contingencies</t>
  </si>
  <si>
    <t>1.2.1</t>
  </si>
  <si>
    <t xml:space="preserve">Provision for pupils with SEN (including assigned resources) </t>
  </si>
  <si>
    <t>1.2.2</t>
  </si>
  <si>
    <t>Provision for pupils with SEN, provision not included in line 1.2.1</t>
  </si>
  <si>
    <t>1.2.3</t>
  </si>
  <si>
    <t>Support for inclusion</t>
  </si>
  <si>
    <t>1.2.4</t>
  </si>
  <si>
    <t>Fees for pupils at independent special schools &amp; abroad</t>
  </si>
  <si>
    <t>1.2.5</t>
  </si>
  <si>
    <t>SEN transport</t>
  </si>
  <si>
    <t>1.2.6</t>
  </si>
  <si>
    <t>Fees to independent schools for pupils without SEN</t>
  </si>
  <si>
    <t>1.2.7</t>
  </si>
  <si>
    <t>Inter-authority recoupment</t>
  </si>
  <si>
    <t>1.2.8</t>
  </si>
  <si>
    <t xml:space="preserve">Contribution to combined budgets </t>
  </si>
  <si>
    <t>1.3.1</t>
  </si>
  <si>
    <t>Pupil Referral Units</t>
  </si>
  <si>
    <t>1.3.2</t>
  </si>
  <si>
    <t>Behaviour Support Services</t>
  </si>
  <si>
    <t>1.3.3</t>
  </si>
  <si>
    <t>Education out of school</t>
  </si>
  <si>
    <t>1.3.4</t>
  </si>
  <si>
    <t>14 - 16 More practical learning options</t>
  </si>
  <si>
    <t>1.3.5</t>
  </si>
  <si>
    <t>Central expenditure on education of children under 5s</t>
  </si>
  <si>
    <t>1.4.1</t>
  </si>
  <si>
    <t>School Meals  - nursery, primary and special schools</t>
  </si>
  <si>
    <t>1.4.2</t>
  </si>
  <si>
    <t>Free school meals -  eligibility</t>
  </si>
  <si>
    <t>1.4.3</t>
  </si>
  <si>
    <t>Milk</t>
  </si>
  <si>
    <t>1.4.4</t>
  </si>
  <si>
    <t>School kitchens  -  repair and maintenance</t>
  </si>
  <si>
    <t>1.5.1</t>
  </si>
  <si>
    <t>Insurance</t>
  </si>
  <si>
    <t>1.5.2</t>
  </si>
  <si>
    <t>Museum and Library Services</t>
  </si>
  <si>
    <t>1.5.3</t>
  </si>
  <si>
    <t>School admissions</t>
  </si>
  <si>
    <t>1.5.4</t>
  </si>
  <si>
    <t xml:space="preserve">Licences/subscriptions </t>
  </si>
  <si>
    <t>1.5.5</t>
  </si>
  <si>
    <t>Miscellaneous (not more than 0.1% total of net SB)</t>
  </si>
  <si>
    <t>1.5.6</t>
  </si>
  <si>
    <t>Servicing of schools forums</t>
  </si>
  <si>
    <t>1.5.7</t>
  </si>
  <si>
    <t>Staff costs - supply cover (not sickness)</t>
  </si>
  <si>
    <t>1.5.8</t>
  </si>
  <si>
    <t>Supply cover - long term sickness</t>
  </si>
  <si>
    <t>1.5.9</t>
  </si>
  <si>
    <t>Termination of employment costs</t>
  </si>
  <si>
    <t>1.6.1</t>
  </si>
  <si>
    <t>School Development Grant - Non-Devolved</t>
  </si>
  <si>
    <t>1.6.2</t>
  </si>
  <si>
    <t>Other Standards Fund Allocation - Non-Devolved</t>
  </si>
  <si>
    <t>1.6.3</t>
  </si>
  <si>
    <t>Other Specific Grants</t>
  </si>
  <si>
    <t>1.6.4</t>
  </si>
  <si>
    <t>Performance Reward Grant</t>
  </si>
  <si>
    <t>1.7.1</t>
  </si>
  <si>
    <t>Capital Expenditure from Revenue (CERA) (Schools)</t>
  </si>
  <si>
    <t>1.7.2</t>
  </si>
  <si>
    <t>Prudential borrowing costs</t>
  </si>
  <si>
    <t>1.8.1</t>
  </si>
  <si>
    <t>TOTAL SCHOOLS BUDGET</t>
  </si>
  <si>
    <t>9</t>
  </si>
  <si>
    <t>Capital Expenditure (excluding CERA)</t>
  </si>
  <si>
    <t xml:space="preserve">MEMORANDUM ITEMS </t>
  </si>
  <si>
    <t>Expenditure covered by LSC Grant - Include below the part of the expenditure recorded in individual lines in the Schools budget that is supported by the Learning and Skills Council.</t>
  </si>
  <si>
    <t>10a.1</t>
  </si>
  <si>
    <t>SIXTH FORM - Allocation from LSC for 16+ funding for secondary schools (included in expenditure 1.0.1 column (c))</t>
  </si>
  <si>
    <t>10a.2</t>
  </si>
  <si>
    <t>SIXTH FORM - Allocation from LSC for 16+ funding for special schools (included in expenditure 1.0.1 column (d))</t>
  </si>
  <si>
    <t>10b.1</t>
  </si>
  <si>
    <t>Sixth form element included at 1.2.1 above for pupils with and without statements</t>
  </si>
  <si>
    <t>10b.2</t>
  </si>
  <si>
    <t>Sixth form element included at 1.2.2 above for pupils with SEN, provision not included in line 1.2.1</t>
  </si>
  <si>
    <t>10b.3</t>
  </si>
  <si>
    <t>Sixth form element included at 1.2.4 above for pupils at independent special schools and abroad</t>
  </si>
  <si>
    <t>10b.4</t>
  </si>
  <si>
    <t>10c.1</t>
  </si>
  <si>
    <t>LSC Threshold and Performance Pay Costs (included in expenditure at 1.0.1 columns c and d)</t>
  </si>
  <si>
    <t>10c.2</t>
  </si>
  <si>
    <t>LSC Threshold and Performance Pay Costs (included in expenditure at 1.0.8 columns c and d)</t>
  </si>
  <si>
    <t>TABLE 1 NOTES</t>
  </si>
  <si>
    <t>TABLE 1 COMMENTS</t>
  </si>
  <si>
    <t>TABLE 1 WORKING AREA</t>
  </si>
  <si>
    <t>This area is provided for your own use. The information you provide in this section will not be taken into account when returned to the DCSF.</t>
  </si>
  <si>
    <r>
      <t xml:space="preserve">Sixth form element included at 1.2.6 above for pupils at independent schools (pupils </t>
    </r>
    <r>
      <rPr>
        <u val="single"/>
        <sz val="8"/>
        <rFont val="Arial"/>
        <family val="2"/>
      </rPr>
      <t>without</t>
    </r>
    <r>
      <rPr>
        <sz val="8"/>
        <rFont val="Arial"/>
        <family val="2"/>
      </rPr>
      <t xml:space="preserve"> SEN)</t>
    </r>
  </si>
  <si>
    <t>Table</t>
  </si>
  <si>
    <t>Message</t>
  </si>
  <si>
    <t>Table 1</t>
  </si>
  <si>
    <t>Passed all validation checks</t>
  </si>
  <si>
    <t>Table 2</t>
  </si>
  <si>
    <t>Table 4</t>
  </si>
  <si>
    <t>CHECK SHEET: FUNDING PERIOD 3 (2010-11)</t>
  </si>
  <si>
    <t>Children, Schools and Families Financial Data Collection</t>
  </si>
  <si>
    <t>T3 V T4 Cross Table Validation Check Sheet</t>
  </si>
  <si>
    <t>Year</t>
  </si>
  <si>
    <t>2010-11</t>
  </si>
  <si>
    <t>Local Authority Name</t>
  </si>
  <si>
    <t>Solihull</t>
  </si>
  <si>
    <t>Local Authority Number</t>
  </si>
  <si>
    <t>Email Address</t>
  </si>
  <si>
    <t>Contact</t>
  </si>
  <si>
    <t>Tel No.</t>
  </si>
  <si>
    <t>0121-704-6692</t>
  </si>
  <si>
    <t>Version No.</t>
  </si>
  <si>
    <t>Completion Date</t>
  </si>
  <si>
    <t>16 June 2009</t>
  </si>
  <si>
    <t xml:space="preserve">Table 3 v Table 4 </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</si>
</sst>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809]dd\ mmmm\ yyyy"/>
    <numFmt numFmtId="167" formatCode="dd\ mmm\ yy"/>
    <numFmt numFmtId="168" formatCode="dd/mm/yyyy;@"/>
    <numFmt numFmtId="169" formatCode="&quot;£&quot;#,##0;\(&quot;£&quot;#,##0\)"/>
    <numFmt numFmtId="170" formatCode="#,##0.00_ ;[Red]\-#,##0.00\ "/>
    <numFmt numFmtId="171" formatCode="#,##0.00_ ;\-#,##0.00\ "/>
    <numFmt numFmtId="172" formatCode="&quot;Yes&quot;;&quot;Yes&quot;;&quot;No&quot;"/>
    <numFmt numFmtId="173" formatCode="&quot;True&quot;;&quot;True&quot;;&quot;False&quot;"/>
    <numFmt numFmtId="174" formatCode="&quot;On&quot;;&quot;On&quot;;&quot;Off&quot;"/>
    <numFmt numFmtId="175" formatCode="[$€-2]\ #,##0.00_);[Red]\([$€-2]\ #,##0.00\)"/>
    <numFmt numFmtId="176" formatCode="0.000%"/>
    <numFmt numFmtId="177" formatCode="0.0%"/>
    <numFmt numFmtId="178" formatCode="&quot;£&quot;#,##0.000"/>
    <numFmt numFmtId="179" formatCode="&quot;£&quot;#,##0.00"/>
    <numFmt numFmtId="180" formatCode="[$-F400]h:mm:ss\ AM/PM"/>
    <numFmt numFmtId="181" formatCode="&quot;£&quot;#,##0.00;\(&quot;£&quot;#,##0.00\)"/>
    <numFmt numFmtId="182" formatCode="&quot;£&quot;#,##0"/>
    <numFmt numFmtId="183" formatCode="#,##0_ ;[Red]\-#,##0\ "/>
    <numFmt numFmtId="184" formatCode="#,##0.00000000000000"/>
    <numFmt numFmtId="185" formatCode="#,##0.0000000000000"/>
    <numFmt numFmtId="186" formatCode="#,##0.000000000000"/>
    <numFmt numFmtId="187" formatCode="#,##0.00000000000"/>
    <numFmt numFmtId="188" formatCode="#,##0.0000000000"/>
    <numFmt numFmtId="189" formatCode="#,##0.000000000"/>
    <numFmt numFmtId="190" formatCode="#,##0.00000000"/>
    <numFmt numFmtId="191" formatCode="#,##0.0000000"/>
    <numFmt numFmtId="192" formatCode="#,##0.000000"/>
    <numFmt numFmtId="193" formatCode="#,##0.00000"/>
    <numFmt numFmtId="194" formatCode="#,##0.0000"/>
    <numFmt numFmtId="195" formatCode="#,##0.000"/>
    <numFmt numFmtId="196" formatCode="#,##0.0"/>
    <numFmt numFmtId="197" formatCode="#,##0.000000000000000"/>
    <numFmt numFmtId="198" formatCode="#,##0.0;\(#,##0.0\)"/>
    <numFmt numFmtId="199" formatCode="#,##0.00;\(#,##0.00\)"/>
    <numFmt numFmtId="200" formatCode="dd\-mmm\-yy_)"/>
    <numFmt numFmtId="201" formatCode="0_)"/>
    <numFmt numFmtId="202" formatCode="0.0"/>
  </numFmts>
  <fonts count="37">
    <font>
      <sz val="10"/>
      <name val="Arial"/>
      <family val="0"/>
    </font>
    <font>
      <u val="single"/>
      <sz val="8"/>
      <color indexed="36"/>
      <name val="Arial"/>
      <family val="0"/>
    </font>
    <font>
      <u val="single"/>
      <sz val="10"/>
      <color indexed="12"/>
      <name val="Arial"/>
      <family val="0"/>
    </font>
    <font>
      <sz val="8"/>
      <name val="Arial"/>
      <family val="0"/>
    </font>
    <font>
      <b/>
      <sz val="10"/>
      <name val="Arial"/>
      <family val="2"/>
    </font>
    <font>
      <sz val="13.5"/>
      <name val="Arial"/>
      <family val="2"/>
    </font>
    <font>
      <sz val="12"/>
      <name val="Arial"/>
      <family val="2"/>
    </font>
    <font>
      <b/>
      <sz val="9"/>
      <name val="Arial"/>
      <family val="2"/>
    </font>
    <font>
      <sz val="9"/>
      <name val="Arial"/>
      <family val="2"/>
    </font>
    <font>
      <u val="single"/>
      <sz val="9"/>
      <color indexed="12"/>
      <name val="Arial"/>
      <family val="0"/>
    </font>
    <font>
      <b/>
      <sz val="10"/>
      <color indexed="57"/>
      <name val="Arial"/>
      <family val="2"/>
    </font>
    <font>
      <b/>
      <u val="single"/>
      <sz val="10"/>
      <name val="Arial"/>
      <family val="2"/>
    </font>
    <font>
      <sz val="9"/>
      <color indexed="10"/>
      <name val="Arial"/>
      <family val="2"/>
    </font>
    <font>
      <b/>
      <sz val="8"/>
      <name val="Arial"/>
      <family val="2"/>
    </font>
    <font>
      <b/>
      <sz val="8"/>
      <name val="Tahoma"/>
      <family val="0"/>
    </font>
    <font>
      <sz val="8"/>
      <name val="Tahoma"/>
      <family val="2"/>
    </font>
    <font>
      <b/>
      <sz val="12"/>
      <name val="Arial"/>
      <family val="2"/>
    </font>
    <font>
      <sz val="10"/>
      <color indexed="8"/>
      <name val="Arial"/>
      <family val="2"/>
    </font>
    <font>
      <sz val="9"/>
      <color indexed="8"/>
      <name val="Arial"/>
      <family val="2"/>
    </font>
    <font>
      <sz val="8"/>
      <color indexed="8"/>
      <name val="Arial"/>
      <family val="2"/>
    </font>
    <font>
      <i/>
      <sz val="8"/>
      <name val="Arial"/>
      <family val="2"/>
    </font>
    <font>
      <vertAlign val="superscript"/>
      <sz val="8"/>
      <name val="Arial"/>
      <family val="2"/>
    </font>
    <font>
      <b/>
      <u val="single"/>
      <sz val="10"/>
      <name val="Times New Roman"/>
      <family val="1"/>
    </font>
    <font>
      <b/>
      <sz val="10"/>
      <name val="Times New Roman"/>
      <family val="1"/>
    </font>
    <font>
      <sz val="7"/>
      <name val="Arial"/>
      <family val="2"/>
    </font>
    <font>
      <sz val="10"/>
      <name val="Times New Roman"/>
      <family val="1"/>
    </font>
    <font>
      <sz val="10"/>
      <color indexed="10"/>
      <name val="Arial"/>
      <family val="0"/>
    </font>
    <font>
      <b/>
      <sz val="12"/>
      <color indexed="8"/>
      <name val="Arial"/>
      <family val="2"/>
    </font>
    <font>
      <b/>
      <sz val="11"/>
      <name val="Arial"/>
      <family val="2"/>
    </font>
    <font>
      <b/>
      <sz val="10"/>
      <color indexed="8"/>
      <name val="Arial"/>
      <family val="2"/>
    </font>
    <font>
      <b/>
      <sz val="12"/>
      <color indexed="13"/>
      <name val="Arial"/>
      <family val="2"/>
    </font>
    <font>
      <b/>
      <sz val="9"/>
      <color indexed="10"/>
      <name val="Arial"/>
      <family val="2"/>
    </font>
    <font>
      <sz val="6"/>
      <name val="Arial"/>
      <family val="0"/>
    </font>
    <font>
      <u val="single"/>
      <sz val="8"/>
      <color indexed="12"/>
      <name val="Arial"/>
      <family val="0"/>
    </font>
    <font>
      <sz val="8"/>
      <color indexed="22"/>
      <name val="Arial"/>
      <family val="0"/>
    </font>
    <font>
      <b/>
      <sz val="8"/>
      <color indexed="10"/>
      <name val="Arial"/>
      <family val="2"/>
    </font>
    <font>
      <u val="single"/>
      <sz val="8"/>
      <name val="Arial"/>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lightUp">
        <fgColor indexed="22"/>
        <bgColor indexed="9"/>
      </patternFill>
    </fill>
    <fill>
      <patternFill patternType="solid">
        <fgColor indexed="51"/>
        <bgColor indexed="64"/>
      </patternFill>
    </fill>
    <fill>
      <patternFill patternType="solid">
        <fgColor indexed="52"/>
        <bgColor indexed="64"/>
      </patternFill>
    </fill>
    <fill>
      <patternFill patternType="solid">
        <fgColor indexed="49"/>
        <bgColor indexed="64"/>
      </patternFill>
    </fill>
    <fill>
      <patternFill patternType="lightUp">
        <fgColor indexed="9"/>
        <bgColor indexed="9"/>
      </patternFill>
    </fill>
    <fill>
      <patternFill patternType="lightUp">
        <fgColor indexed="22"/>
      </patternFill>
    </fill>
    <fill>
      <patternFill patternType="solid">
        <fgColor indexed="9"/>
        <bgColor indexed="64"/>
      </patternFill>
    </fill>
    <fill>
      <patternFill patternType="solid">
        <fgColor indexed="22"/>
        <bgColor indexed="64"/>
      </patternFill>
    </fill>
    <fill>
      <patternFill patternType="lightUp">
        <fgColor indexed="9"/>
      </patternFill>
    </fill>
    <fill>
      <patternFill patternType="solid">
        <fgColor indexed="65"/>
        <bgColor indexed="64"/>
      </patternFill>
    </fill>
    <fill>
      <patternFill patternType="solid">
        <fgColor indexed="65"/>
        <bgColor indexed="64"/>
      </patternFill>
    </fill>
    <fill>
      <patternFill patternType="mediumGray">
        <fgColor indexed="22"/>
      </patternFill>
    </fill>
    <fill>
      <patternFill patternType="mediumGray">
        <fgColor indexed="22"/>
        <bgColor indexed="9"/>
      </patternFill>
    </fill>
    <fill>
      <patternFill patternType="solid">
        <fgColor indexed="65"/>
        <bgColor indexed="64"/>
      </patternFill>
    </fill>
    <fill>
      <patternFill patternType="solid">
        <fgColor indexed="22"/>
        <bgColor indexed="64"/>
      </patternFill>
    </fill>
    <fill>
      <patternFill patternType="solid">
        <fgColor indexed="60"/>
        <bgColor indexed="64"/>
      </patternFill>
    </fill>
  </fills>
  <borders count="85">
    <border>
      <left/>
      <right/>
      <top/>
      <bottom/>
      <diagonal/>
    </border>
    <border>
      <left>
        <color indexed="63"/>
      </left>
      <right>
        <color indexed="63"/>
      </right>
      <top style="medium"/>
      <bottom style="medium"/>
    </border>
    <border>
      <left style="medium"/>
      <right>
        <color indexed="63"/>
      </right>
      <top style="medium"/>
      <bottom style="medium"/>
    </border>
    <border>
      <left style="medium"/>
      <right style="medium"/>
      <top style="medium"/>
      <bottom style="mediu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color indexed="63"/>
      </right>
      <top>
        <color indexed="63"/>
      </top>
      <bottom style="hair"/>
    </border>
    <border>
      <left style="medium"/>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double"/>
    </border>
    <border>
      <left style="thin"/>
      <right style="thin"/>
      <top style="thin"/>
      <bottom style="double"/>
    </border>
    <border>
      <left style="medium"/>
      <right style="thin"/>
      <top style="thin"/>
      <bottom>
        <color indexed="63"/>
      </bottom>
    </border>
    <border>
      <left style="medium"/>
      <right style="medium"/>
      <top style="thin"/>
      <bottom style="thin"/>
    </border>
    <border>
      <left>
        <color indexed="63"/>
      </left>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medium"/>
    </border>
    <border>
      <left>
        <color indexed="63"/>
      </left>
      <right style="thin"/>
      <top style="thin"/>
      <bottom style="medium"/>
    </border>
    <border>
      <left style="thin"/>
      <right>
        <color indexed="63"/>
      </right>
      <top style="thin"/>
      <bottom style="medium"/>
    </border>
    <border>
      <left>
        <color indexed="63"/>
      </left>
      <right>
        <color indexed="63"/>
      </right>
      <top>
        <color indexed="63"/>
      </top>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style="medium"/>
      <top>
        <color indexed="63"/>
      </top>
      <bottom>
        <color indexed="63"/>
      </bottom>
    </border>
    <border>
      <left style="thin"/>
      <right style="thin"/>
      <top>
        <color indexed="63"/>
      </top>
      <bottom style="medium"/>
    </border>
    <border>
      <left style="thick"/>
      <right style="thick"/>
      <top style="thick"/>
      <bottom style="thick"/>
    </border>
    <border>
      <left style="medium"/>
      <right style="medium"/>
      <top>
        <color indexed="63"/>
      </top>
      <bottom style="thin"/>
    </border>
    <border>
      <left style="medium"/>
      <right style="medium"/>
      <top style="thin"/>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style="medium"/>
      <top>
        <color indexed="63"/>
      </top>
      <bottom>
        <color indexed="63"/>
      </bottom>
    </border>
    <border>
      <left style="thin"/>
      <right style="medium"/>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medium"/>
      <right>
        <color indexed="63"/>
      </right>
      <top>
        <color indexed="63"/>
      </top>
      <bottom style="medium"/>
    </border>
    <border>
      <left style="medium"/>
      <right style="thin"/>
      <top>
        <color indexed="63"/>
      </top>
      <bottom style="medium"/>
    </border>
    <border>
      <left style="thin"/>
      <right style="medium"/>
      <top style="medium"/>
      <bottom style="medium"/>
    </border>
    <border>
      <left style="thin"/>
      <right style="medium"/>
      <top style="thin"/>
      <bottom>
        <color indexed="63"/>
      </bottom>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double"/>
      <right style="double"/>
      <top style="double"/>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color indexed="63"/>
      </top>
      <bottom>
        <color indexed="63"/>
      </bottom>
    </border>
    <border>
      <left>
        <color indexed="63"/>
      </left>
      <right style="double"/>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style="thick">
        <color indexed="8"/>
      </right>
      <top style="thin"/>
      <bottom style="thin"/>
    </border>
    <border>
      <left style="thin"/>
      <right style="thin"/>
      <top style="hair">
        <color indexed="55"/>
      </top>
      <bottom style="hair">
        <color indexed="55"/>
      </bottom>
    </border>
    <border>
      <left>
        <color indexed="63"/>
      </left>
      <right style="thick">
        <color indexed="8"/>
      </right>
      <top style="hair">
        <color indexed="55"/>
      </top>
      <bottom style="hair">
        <color indexed="55"/>
      </bottom>
    </border>
    <border>
      <left style="thin"/>
      <right style="thin"/>
      <top style="hair">
        <color indexed="55"/>
      </top>
      <bottom style="thick"/>
    </border>
    <border>
      <left>
        <color indexed="63"/>
      </left>
      <right>
        <color indexed="63"/>
      </right>
      <top style="thick"/>
      <bottom>
        <color indexed="63"/>
      </bottom>
    </border>
    <border>
      <left>
        <color indexed="63"/>
      </left>
      <right style="medium"/>
      <top style="medium"/>
      <bottom style="medium"/>
    </border>
    <border>
      <left>
        <color indexed="63"/>
      </left>
      <right>
        <color indexed="63"/>
      </right>
      <top style="hair"/>
      <bottom>
        <color indexed="63"/>
      </bottom>
    </border>
    <border>
      <left style="medium"/>
      <right style="thick"/>
      <top style="medium"/>
      <bottom style="medium"/>
    </border>
    <border>
      <left style="thick"/>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 fillId="0" borderId="0">
      <alignment/>
      <protection/>
    </xf>
    <xf numFmtId="9" fontId="0" fillId="0" borderId="0" applyFont="0" applyFill="0" applyBorder="0" applyAlignment="0" applyProtection="0"/>
  </cellStyleXfs>
  <cellXfs count="1433">
    <xf numFmtId="0" fontId="0" fillId="0" borderId="0" xfId="0" applyAlignment="1">
      <alignment/>
    </xf>
    <xf numFmtId="0" fontId="0" fillId="0" borderId="0" xfId="0" applyFont="1" applyAlignment="1">
      <alignment/>
    </xf>
    <xf numFmtId="0" fontId="4" fillId="0" borderId="0" xfId="0" applyFont="1" applyAlignment="1" applyProtection="1">
      <alignment/>
      <protection/>
    </xf>
    <xf numFmtId="0" fontId="0" fillId="0" borderId="0" xfId="0" applyAlignment="1" applyProtection="1">
      <alignment/>
      <protection/>
    </xf>
    <xf numFmtId="0" fontId="5" fillId="0" borderId="1" xfId="0" applyFont="1" applyBorder="1" applyAlignment="1" applyProtection="1">
      <alignment vertical="center"/>
      <protection/>
    </xf>
    <xf numFmtId="0" fontId="6" fillId="0" borderId="0" xfId="0" applyFont="1" applyAlignment="1" applyProtection="1">
      <alignment/>
      <protection/>
    </xf>
    <xf numFmtId="0" fontId="0" fillId="0" borderId="0" xfId="0" applyNumberFormat="1" applyAlignment="1" applyProtection="1">
      <alignment/>
      <protection/>
    </xf>
    <xf numFmtId="4" fontId="3" fillId="0" borderId="0" xfId="0" applyNumberFormat="1" applyFont="1" applyAlignment="1" applyProtection="1">
      <alignment/>
      <protection/>
    </xf>
    <xf numFmtId="1" fontId="0" fillId="0" borderId="0" xfId="0" applyNumberFormat="1" applyAlignment="1" applyProtection="1">
      <alignment horizontal="center" vertical="center"/>
      <protection/>
    </xf>
    <xf numFmtId="1" fontId="0" fillId="0" borderId="0" xfId="0" applyNumberFormat="1" applyAlignment="1" applyProtection="1">
      <alignment/>
      <protection/>
    </xf>
    <xf numFmtId="0" fontId="8" fillId="0" borderId="2" xfId="0" applyFont="1" applyBorder="1" applyAlignment="1" applyProtection="1">
      <alignment horizontal="center" vertical="center"/>
      <protection/>
    </xf>
    <xf numFmtId="165" fontId="7" fillId="0" borderId="3" xfId="0" applyNumberFormat="1" applyFont="1" applyBorder="1" applyAlignment="1" applyProtection="1">
      <alignment horizontal="left" vertical="center" wrapText="1"/>
      <protection/>
    </xf>
    <xf numFmtId="1" fontId="8" fillId="0" borderId="3" xfId="0" applyNumberFormat="1" applyFont="1" applyBorder="1" applyAlignment="1" applyProtection="1">
      <alignment horizontal="center" vertical="center" wrapText="1"/>
      <protection/>
    </xf>
    <xf numFmtId="165" fontId="7" fillId="0" borderId="3" xfId="0" applyNumberFormat="1" applyFont="1" applyBorder="1" applyAlignment="1" applyProtection="1">
      <alignment horizontal="left" vertical="center"/>
      <protection/>
    </xf>
    <xf numFmtId="1" fontId="8" fillId="0" borderId="3" xfId="0" applyNumberFormat="1" applyFont="1" applyBorder="1" applyAlignment="1" applyProtection="1">
      <alignment horizontal="center" vertical="center"/>
      <protection locked="0"/>
    </xf>
    <xf numFmtId="0" fontId="0" fillId="0" borderId="0" xfId="0" applyFill="1" applyAlignment="1" applyProtection="1">
      <alignment/>
      <protection/>
    </xf>
    <xf numFmtId="0" fontId="10" fillId="0" borderId="0" xfId="0" applyFont="1" applyFill="1" applyAlignment="1" applyProtection="1">
      <alignment horizontal="right"/>
      <protection/>
    </xf>
    <xf numFmtId="0" fontId="11" fillId="0" borderId="0" xfId="0" applyNumberFormat="1" applyFont="1" applyFill="1" applyBorder="1" applyAlignment="1" applyProtection="1">
      <alignment vertical="center" wrapText="1"/>
      <protection/>
    </xf>
    <xf numFmtId="1" fontId="4" fillId="0" borderId="4" xfId="22" applyNumberFormat="1" applyFont="1" applyFill="1" applyBorder="1" applyAlignment="1" applyProtection="1">
      <alignment horizontal="center" vertical="center" wrapText="1"/>
      <protection/>
    </xf>
    <xf numFmtId="165" fontId="4" fillId="0" borderId="4" xfId="22" applyNumberFormat="1" applyFont="1" applyFill="1" applyBorder="1" applyAlignment="1" applyProtection="1">
      <alignment horizontal="center" vertical="center"/>
      <protection/>
    </xf>
    <xf numFmtId="0" fontId="8" fillId="0" borderId="5" xfId="0" applyFont="1" applyFill="1" applyBorder="1" applyAlignment="1" applyProtection="1">
      <alignment vertical="center"/>
      <protection/>
    </xf>
    <xf numFmtId="0" fontId="8" fillId="0" borderId="6" xfId="0" applyFont="1" applyFill="1" applyBorder="1" applyAlignment="1" applyProtection="1">
      <alignment vertical="center"/>
      <protection/>
    </xf>
    <xf numFmtId="3" fontId="8" fillId="0" borderId="4" xfId="0" applyNumberFormat="1" applyFont="1" applyFill="1" applyBorder="1" applyAlignment="1" applyProtection="1" quotePrefix="1">
      <alignment horizontal="right" vertical="center" wrapText="1"/>
      <protection locked="0"/>
    </xf>
    <xf numFmtId="165" fontId="8" fillId="0" borderId="4" xfId="0" applyNumberFormat="1" applyFont="1" applyFill="1" applyBorder="1" applyAlignment="1" applyProtection="1" quotePrefix="1">
      <alignment vertical="center" wrapText="1"/>
      <protection/>
    </xf>
    <xf numFmtId="0" fontId="8" fillId="2" borderId="5" xfId="0" applyFont="1" applyFill="1" applyBorder="1" applyAlignment="1">
      <alignment vertical="center"/>
    </xf>
    <xf numFmtId="0" fontId="8" fillId="2" borderId="7" xfId="0" applyFont="1" applyFill="1" applyBorder="1" applyAlignment="1">
      <alignment vertical="center"/>
    </xf>
    <xf numFmtId="49" fontId="12" fillId="2" borderId="5" xfId="0" applyNumberFormat="1" applyFont="1" applyFill="1" applyBorder="1" applyAlignment="1">
      <alignment horizontal="center" vertical="center" wrapText="1"/>
    </xf>
    <xf numFmtId="0" fontId="0" fillId="2" borderId="0" xfId="0" applyFill="1" applyAlignment="1">
      <alignment/>
    </xf>
    <xf numFmtId="49" fontId="12" fillId="2" borderId="5" xfId="0" applyNumberFormat="1" applyFont="1" applyFill="1" applyBorder="1" applyAlignment="1">
      <alignment horizontal="center" vertical="center"/>
    </xf>
    <xf numFmtId="0" fontId="8" fillId="2" borderId="8" xfId="0" applyFont="1" applyFill="1" applyBorder="1" applyAlignment="1">
      <alignment vertical="center"/>
    </xf>
    <xf numFmtId="0" fontId="8" fillId="0" borderId="0" xfId="0" applyFont="1" applyFill="1" applyAlignment="1" applyProtection="1">
      <alignment/>
      <protection/>
    </xf>
    <xf numFmtId="0" fontId="0" fillId="0" borderId="9" xfId="0" applyBorder="1" applyAlignment="1" applyProtection="1">
      <alignment/>
      <protection locked="0"/>
    </xf>
    <xf numFmtId="0" fontId="0" fillId="0" borderId="0" xfId="0" applyBorder="1" applyAlignment="1" applyProtection="1">
      <alignment/>
      <protection locked="0"/>
    </xf>
    <xf numFmtId="1" fontId="3" fillId="0" borderId="0" xfId="0" applyNumberFormat="1" applyFont="1" applyAlignment="1" applyProtection="1">
      <alignment horizontal="center" vertical="center"/>
      <protection/>
    </xf>
    <xf numFmtId="1" fontId="8" fillId="0" borderId="3" xfId="0" applyNumberFormat="1" applyFont="1" applyBorder="1" applyAlignment="1" applyProtection="1">
      <alignment horizontal="center" vertical="center" wrapText="1"/>
      <protection/>
    </xf>
    <xf numFmtId="0" fontId="2" fillId="0" borderId="3" xfId="20" applyBorder="1" applyAlignment="1" applyProtection="1">
      <alignment horizontal="left" vertical="center" wrapText="1"/>
      <protection locked="0"/>
    </xf>
    <xf numFmtId="0" fontId="3" fillId="0" borderId="0" xfId="0" applyFont="1" applyAlignment="1" applyProtection="1">
      <alignment/>
      <protection/>
    </xf>
    <xf numFmtId="1" fontId="3" fillId="0" borderId="3" xfId="0" applyNumberFormat="1" applyFont="1" applyBorder="1" applyAlignment="1" applyProtection="1">
      <alignment horizontal="center" vertical="center" wrapText="1"/>
      <protection locked="0"/>
    </xf>
    <xf numFmtId="14" fontId="8" fillId="0" borderId="3" xfId="0" applyNumberFormat="1" applyFont="1" applyBorder="1" applyAlignment="1" applyProtection="1">
      <alignment horizontal="left" vertical="center" wrapText="1"/>
      <protection locked="0"/>
    </xf>
    <xf numFmtId="0" fontId="0" fillId="0" borderId="0" xfId="0" applyAlignment="1" applyProtection="1">
      <alignment wrapText="1"/>
      <protection/>
    </xf>
    <xf numFmtId="0" fontId="0" fillId="0" borderId="0" xfId="0" applyNumberFormat="1" applyAlignment="1" applyProtection="1">
      <alignment wrapText="1"/>
      <protection/>
    </xf>
    <xf numFmtId="4" fontId="3" fillId="0" borderId="0" xfId="0" applyNumberFormat="1" applyFont="1" applyAlignment="1" applyProtection="1">
      <alignment wrapText="1"/>
      <protection/>
    </xf>
    <xf numFmtId="1" fontId="3" fillId="0" borderId="0" xfId="0" applyNumberFormat="1" applyFont="1" applyAlignment="1" applyProtection="1">
      <alignment horizontal="center" vertical="center" wrapText="1"/>
      <protection/>
    </xf>
    <xf numFmtId="22" fontId="0" fillId="0" borderId="0" xfId="0" applyNumberFormat="1" applyAlignment="1" applyProtection="1">
      <alignment/>
      <protection/>
    </xf>
    <xf numFmtId="0" fontId="17" fillId="0" borderId="0" xfId="0" applyFont="1" applyAlignment="1" applyProtection="1">
      <alignment/>
      <protection/>
    </xf>
    <xf numFmtId="0" fontId="0" fillId="0" borderId="0" xfId="0" applyAlignment="1" applyProtection="1">
      <alignment vertical="top"/>
      <protection/>
    </xf>
    <xf numFmtId="1" fontId="0" fillId="0" borderId="0" xfId="0" applyNumberFormat="1" applyAlignment="1" applyProtection="1">
      <alignment vertical="top"/>
      <protection/>
    </xf>
    <xf numFmtId="0" fontId="17" fillId="0" borderId="0" xfId="0" applyFont="1" applyFill="1" applyAlignment="1" applyProtection="1">
      <alignment/>
      <protection/>
    </xf>
    <xf numFmtId="1" fontId="3" fillId="0" borderId="0" xfId="0" applyNumberFormat="1" applyFont="1" applyAlignment="1" applyProtection="1">
      <alignment horizontal="center" vertical="center" wrapText="1"/>
      <protection locked="0"/>
    </xf>
    <xf numFmtId="0" fontId="0" fillId="0" borderId="4" xfId="0" applyBorder="1" applyAlignment="1">
      <alignment horizontal="center" vertical="center" wrapText="1"/>
    </xf>
    <xf numFmtId="0" fontId="6" fillId="0" borderId="10" xfId="0" applyFont="1" applyBorder="1" applyAlignment="1" applyProtection="1">
      <alignment horizontal="right" vertical="top" wrapText="1"/>
      <protection/>
    </xf>
    <xf numFmtId="0" fontId="0" fillId="0" borderId="0" xfId="0" applyAlignment="1" applyProtection="1">
      <alignment horizontal="center" vertical="center"/>
      <protection/>
    </xf>
    <xf numFmtId="0" fontId="0" fillId="0" borderId="0" xfId="0"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4" fontId="19" fillId="0" borderId="11"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horizontal="right" vertical="top" wrapText="1"/>
      <protection/>
    </xf>
    <xf numFmtId="1"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0" fillId="0" borderId="0" xfId="0" applyAlignment="1" applyProtection="1">
      <alignment vertical="center"/>
      <protection/>
    </xf>
    <xf numFmtId="0" fontId="0" fillId="0" borderId="0" xfId="0" applyBorder="1" applyAlignment="1" applyProtection="1">
      <alignment/>
      <protection/>
    </xf>
    <xf numFmtId="0" fontId="0" fillId="0" borderId="0" xfId="0" applyNumberFormat="1" applyBorder="1" applyAlignment="1" applyProtection="1">
      <alignment/>
      <protection/>
    </xf>
    <xf numFmtId="4" fontId="0" fillId="0" borderId="0" xfId="0" applyNumberFormat="1" applyBorder="1" applyAlignment="1" applyProtection="1">
      <alignment/>
      <protection/>
    </xf>
    <xf numFmtId="1" fontId="3" fillId="0" borderId="0" xfId="0" applyNumberFormat="1" applyFont="1" applyAlignment="1" applyProtection="1">
      <alignment vertical="center"/>
      <protection/>
    </xf>
    <xf numFmtId="1" fontId="0" fillId="0" borderId="0" xfId="0" applyNumberFormat="1" applyAlignment="1" applyProtection="1">
      <alignment vertical="center"/>
      <protection/>
    </xf>
    <xf numFmtId="0" fontId="0" fillId="0" borderId="7" xfId="0" applyBorder="1" applyAlignment="1">
      <alignment/>
    </xf>
    <xf numFmtId="0" fontId="0" fillId="0" borderId="5" xfId="0" applyBorder="1" applyAlignment="1">
      <alignment/>
    </xf>
    <xf numFmtId="0" fontId="0" fillId="0" borderId="6" xfId="0" applyBorder="1" applyAlignment="1">
      <alignment/>
    </xf>
    <xf numFmtId="0" fontId="0" fillId="0" borderId="4" xfId="0" applyBorder="1" applyAlignment="1">
      <alignment horizontal="center" wrapText="1"/>
    </xf>
    <xf numFmtId="0" fontId="3" fillId="0" borderId="10" xfId="0" applyFont="1" applyBorder="1" applyAlignment="1" applyProtection="1">
      <alignment horizontal="right" vertical="center" wrapText="1"/>
      <protection/>
    </xf>
    <xf numFmtId="4" fontId="0" fillId="0" borderId="0" xfId="0" applyNumberFormat="1" applyAlignment="1" applyProtection="1">
      <alignment/>
      <protection/>
    </xf>
    <xf numFmtId="0" fontId="3" fillId="0" borderId="0" xfId="0" applyFont="1" applyBorder="1" applyAlignment="1" applyProtection="1">
      <alignment horizontal="right" vertical="top" wrapText="1"/>
      <protection/>
    </xf>
    <xf numFmtId="0" fontId="3" fillId="0" borderId="12"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19" fillId="0" borderId="0" xfId="0" applyNumberFormat="1" applyFont="1" applyAlignment="1" applyProtection="1">
      <alignment vertical="center" wrapText="1"/>
      <protection/>
    </xf>
    <xf numFmtId="0" fontId="19" fillId="0" borderId="0" xfId="0" applyFont="1" applyAlignment="1" applyProtection="1">
      <alignment vertical="center" wrapText="1"/>
      <protection/>
    </xf>
    <xf numFmtId="3" fontId="22" fillId="0" borderId="0" xfId="0" applyNumberFormat="1" applyFont="1" applyFill="1" applyAlignment="1" applyProtection="1">
      <alignment horizontal="left"/>
      <protection locked="0"/>
    </xf>
    <xf numFmtId="0" fontId="19" fillId="0" borderId="0" xfId="0" applyFont="1" applyAlignment="1" applyProtection="1">
      <alignment horizontal="center" vertical="center" wrapText="1"/>
      <protection/>
    </xf>
    <xf numFmtId="0" fontId="24" fillId="0" borderId="0" xfId="0" applyFont="1" applyBorder="1" applyAlignment="1" applyProtection="1">
      <alignment horizontal="center" vertical="center" wrapText="1"/>
      <protection/>
    </xf>
    <xf numFmtId="4" fontId="19" fillId="0" borderId="0" xfId="0" applyNumberFormat="1" applyFont="1" applyAlignment="1" applyProtection="1">
      <alignment vertical="center" wrapText="1"/>
      <protection/>
    </xf>
    <xf numFmtId="3" fontId="23" fillId="3" borderId="13" xfId="0" applyNumberFormat="1" applyFont="1" applyFill="1" applyBorder="1" applyAlignment="1" applyProtection="1">
      <alignment horizontal="center"/>
      <protection locked="0"/>
    </xf>
    <xf numFmtId="201" fontId="23" fillId="3" borderId="14" xfId="0" applyNumberFormat="1" applyFont="1" applyFill="1" applyBorder="1" applyAlignment="1" applyProtection="1">
      <alignment horizontal="center"/>
      <protection locked="0"/>
    </xf>
    <xf numFmtId="0" fontId="0" fillId="0" borderId="0" xfId="0" applyAlignment="1" applyProtection="1">
      <alignment horizontal="center"/>
      <protection/>
    </xf>
    <xf numFmtId="0" fontId="17" fillId="0" borderId="0" xfId="0" applyFont="1" applyAlignment="1" applyProtection="1">
      <alignment horizontal="center" vertical="top" wrapText="1"/>
      <protection/>
    </xf>
    <xf numFmtId="0" fontId="17" fillId="0" borderId="0" xfId="0" applyFont="1" applyBorder="1" applyAlignment="1" applyProtection="1">
      <alignment horizontal="center" vertical="top" wrapText="1"/>
      <protection/>
    </xf>
    <xf numFmtId="4" fontId="3" fillId="4" borderId="4" xfId="0" applyNumberFormat="1" applyFont="1" applyFill="1" applyBorder="1" applyAlignment="1" applyProtection="1">
      <alignment horizontal="center" vertical="center" wrapText="1"/>
      <protection locked="0"/>
    </xf>
    <xf numFmtId="0" fontId="6" fillId="0" borderId="15" xfId="0" applyFont="1" applyBorder="1" applyAlignment="1" applyProtection="1">
      <alignment horizontal="right" vertical="top" wrapText="1"/>
      <protection/>
    </xf>
    <xf numFmtId="171" fontId="3" fillId="5" borderId="6" xfId="0" applyNumberFormat="1" applyFont="1" applyFill="1" applyBorder="1" applyAlignment="1" applyProtection="1">
      <alignment horizontal="right" vertical="top" wrapText="1"/>
      <protection locked="0"/>
    </xf>
    <xf numFmtId="0" fontId="6" fillId="0" borderId="0" xfId="0" applyFont="1" applyAlignment="1" applyProtection="1">
      <alignment horizontal="right" vertical="top" wrapText="1"/>
      <protection/>
    </xf>
    <xf numFmtId="0" fontId="19" fillId="3" borderId="4" xfId="0" applyFont="1" applyFill="1" applyBorder="1" applyAlignment="1" applyProtection="1">
      <alignment horizontal="center" vertical="top" wrapText="1"/>
      <protection/>
    </xf>
    <xf numFmtId="170" fontId="3" fillId="0" borderId="4" xfId="0" applyNumberFormat="1" applyFont="1" applyBorder="1" applyAlignment="1" applyProtection="1">
      <alignment horizontal="right" vertical="top" wrapText="1"/>
      <protection locked="0"/>
    </xf>
    <xf numFmtId="195" fontId="25" fillId="0" borderId="16" xfId="0" applyNumberFormat="1" applyFont="1" applyBorder="1" applyAlignment="1" applyProtection="1">
      <alignment horizontal="left"/>
      <protection locked="0"/>
    </xf>
    <xf numFmtId="39" fontId="25" fillId="0" borderId="4" xfId="0" applyNumberFormat="1" applyFont="1" applyBorder="1" applyAlignment="1" applyProtection="1">
      <alignment/>
      <protection locked="0"/>
    </xf>
    <xf numFmtId="171" fontId="3" fillId="5" borderId="6" xfId="0" applyNumberFormat="1" applyFont="1" applyFill="1" applyBorder="1" applyAlignment="1" applyProtection="1">
      <alignment vertical="top" wrapText="1"/>
      <protection locked="0"/>
    </xf>
    <xf numFmtId="4" fontId="3" fillId="2" borderId="4" xfId="0" applyNumberFormat="1" applyFont="1" applyFill="1" applyBorder="1" applyAlignment="1" applyProtection="1">
      <alignment horizontal="center" vertical="center" wrapText="1"/>
      <protection locked="0"/>
    </xf>
    <xf numFmtId="1" fontId="0" fillId="0" borderId="4" xfId="0" applyNumberFormat="1" applyBorder="1" applyAlignment="1" applyProtection="1">
      <alignment wrapText="1"/>
      <protection locked="0"/>
    </xf>
    <xf numFmtId="195" fontId="25" fillId="6" borderId="17" xfId="0" applyNumberFormat="1" applyFont="1" applyFill="1" applyBorder="1" applyAlignment="1" applyProtection="1">
      <alignment horizontal="left"/>
      <protection locked="0"/>
    </xf>
    <xf numFmtId="195" fontId="25" fillId="7" borderId="17" xfId="0" applyNumberFormat="1" applyFont="1" applyFill="1" applyBorder="1" applyAlignment="1" applyProtection="1">
      <alignment horizontal="left"/>
      <protection locked="0"/>
    </xf>
    <xf numFmtId="4" fontId="3" fillId="5" borderId="4" xfId="0" applyNumberFormat="1" applyFont="1" applyFill="1" applyBorder="1" applyAlignment="1" applyProtection="1">
      <alignment vertical="center" wrapText="1"/>
      <protection locked="0"/>
    </xf>
    <xf numFmtId="195" fontId="25" fillId="0" borderId="17" xfId="0" applyNumberFormat="1" applyFont="1" applyBorder="1" applyAlignment="1" applyProtection="1">
      <alignment horizontal="left"/>
      <protection locked="0"/>
    </xf>
    <xf numFmtId="0" fontId="17" fillId="0" borderId="18" xfId="0" applyFont="1" applyBorder="1" applyAlignment="1" applyProtection="1">
      <alignment horizontal="center" vertical="top" wrapText="1"/>
      <protection/>
    </xf>
    <xf numFmtId="195" fontId="25" fillId="6" borderId="19" xfId="0" applyNumberFormat="1" applyFont="1" applyFill="1" applyBorder="1" applyAlignment="1" applyProtection="1">
      <alignment horizontal="left"/>
      <protection locked="0"/>
    </xf>
    <xf numFmtId="195" fontId="23" fillId="7" borderId="19" xfId="0" applyNumberFormat="1" applyFont="1" applyFill="1" applyBorder="1" applyAlignment="1" applyProtection="1">
      <alignment horizontal="left"/>
      <protection locked="0"/>
    </xf>
    <xf numFmtId="195" fontId="25" fillId="7" borderId="19" xfId="0" applyNumberFormat="1" applyFont="1" applyFill="1" applyBorder="1" applyAlignment="1" applyProtection="1">
      <alignment horizontal="left"/>
      <protection locked="0"/>
    </xf>
    <xf numFmtId="195" fontId="23" fillId="0" borderId="19" xfId="0" applyNumberFormat="1" applyFont="1" applyBorder="1" applyAlignment="1" applyProtection="1">
      <alignment horizontal="left"/>
      <protection locked="0"/>
    </xf>
    <xf numFmtId="39" fontId="25" fillId="6" borderId="4" xfId="0" applyNumberFormat="1" applyFont="1" applyFill="1" applyBorder="1" applyAlignment="1" applyProtection="1">
      <alignment/>
      <protection locked="0"/>
    </xf>
    <xf numFmtId="195" fontId="25" fillId="0" borderId="19" xfId="0" applyNumberFormat="1" applyFont="1" applyBorder="1" applyAlignment="1" applyProtection="1">
      <alignment horizontal="left"/>
      <protection locked="0"/>
    </xf>
    <xf numFmtId="1" fontId="3" fillId="3" borderId="20" xfId="0" applyNumberFormat="1" applyFont="1" applyFill="1" applyBorder="1" applyAlignment="1" applyProtection="1">
      <alignment horizontal="center" vertical="center"/>
      <protection/>
    </xf>
    <xf numFmtId="1" fontId="0" fillId="0" borderId="0" xfId="0" applyNumberFormat="1" applyAlignment="1" applyProtection="1">
      <alignment wrapText="1"/>
      <protection locked="0"/>
    </xf>
    <xf numFmtId="4" fontId="3" fillId="3" borderId="3" xfId="0" applyNumberFormat="1" applyFont="1" applyFill="1" applyBorder="1" applyAlignment="1" applyProtection="1">
      <alignment horizontal="center" vertical="center" wrapText="1"/>
      <protection locked="0"/>
    </xf>
    <xf numFmtId="170" fontId="3" fillId="0" borderId="4" xfId="0" applyNumberFormat="1" applyFont="1" applyBorder="1" applyAlignment="1" applyProtection="1">
      <alignment/>
      <protection/>
    </xf>
    <xf numFmtId="1" fontId="3" fillId="3" borderId="21" xfId="0" applyNumberFormat="1" applyFont="1" applyFill="1" applyBorder="1" applyAlignment="1" applyProtection="1">
      <alignment horizontal="center" vertical="center"/>
      <protection/>
    </xf>
    <xf numFmtId="4" fontId="3" fillId="3" borderId="4" xfId="0" applyNumberFormat="1" applyFont="1" applyFill="1" applyBorder="1" applyAlignment="1" applyProtection="1">
      <alignment horizontal="center" vertical="center" wrapText="1"/>
      <protection locked="0"/>
    </xf>
    <xf numFmtId="170" fontId="3" fillId="0" borderId="4" xfId="0" applyNumberFormat="1" applyFont="1" applyBorder="1" applyAlignment="1" applyProtection="1">
      <alignment wrapText="1"/>
      <protection locked="0"/>
    </xf>
    <xf numFmtId="0" fontId="6" fillId="0" borderId="0" xfId="0" applyNumberFormat="1" applyFont="1" applyFill="1" applyBorder="1" applyAlignment="1" applyProtection="1">
      <alignment horizontal="right" vertical="top" wrapText="1"/>
      <protection/>
    </xf>
    <xf numFmtId="0" fontId="6" fillId="0" borderId="0" xfId="0" applyFont="1" applyBorder="1" applyAlignment="1" applyProtection="1">
      <alignment horizontal="right" vertical="top" wrapText="1"/>
      <protection/>
    </xf>
    <xf numFmtId="4" fontId="3" fillId="0" borderId="0" xfId="0" applyNumberFormat="1" applyFont="1" applyFill="1" applyBorder="1" applyAlignment="1" applyProtection="1">
      <alignment horizontal="right" vertical="top" wrapText="1"/>
      <protection/>
    </xf>
    <xf numFmtId="1" fontId="3" fillId="0" borderId="0" xfId="0" applyNumberFormat="1" applyFont="1" applyFill="1" applyBorder="1" applyAlignment="1" applyProtection="1">
      <alignment horizontal="center" vertical="center"/>
      <protection/>
    </xf>
    <xf numFmtId="1" fontId="0" fillId="0" borderId="0" xfId="0" applyNumberFormat="1" applyBorder="1" applyAlignment="1" applyProtection="1">
      <alignment/>
      <protection/>
    </xf>
    <xf numFmtId="4" fontId="25" fillId="0" borderId="19" xfId="0" applyNumberFormat="1" applyFont="1" applyBorder="1" applyAlignment="1" applyProtection="1">
      <alignment horizontal="left"/>
      <protection locked="0"/>
    </xf>
    <xf numFmtId="4" fontId="3" fillId="5" borderId="4" xfId="0" applyNumberFormat="1" applyFont="1" applyFill="1" applyBorder="1" applyAlignment="1" applyProtection="1">
      <alignment horizontal="right" vertical="top" wrapText="1"/>
      <protection locked="0"/>
    </xf>
    <xf numFmtId="3" fontId="3" fillId="0" borderId="4" xfId="0" applyNumberFormat="1" applyFont="1" applyBorder="1" applyAlignment="1" applyProtection="1">
      <alignment wrapText="1"/>
      <protection locked="0"/>
    </xf>
    <xf numFmtId="170" fontId="3" fillId="0" borderId="0" xfId="0" applyNumberFormat="1" applyFont="1" applyBorder="1" applyAlignment="1" applyProtection="1">
      <alignment horizontal="right" vertical="top" wrapText="1"/>
      <protection/>
    </xf>
    <xf numFmtId="0" fontId="17" fillId="0" borderId="0" xfId="0" applyFont="1" applyBorder="1" applyAlignment="1" applyProtection="1">
      <alignment horizontal="left" vertical="center" wrapText="1"/>
      <protection/>
    </xf>
    <xf numFmtId="170" fontId="3" fillId="2" borderId="0" xfId="0" applyNumberFormat="1" applyFont="1" applyFill="1" applyBorder="1" applyAlignment="1" applyProtection="1">
      <alignment horizontal="right" vertical="top" wrapText="1"/>
      <protection/>
    </xf>
    <xf numFmtId="0" fontId="6" fillId="2" borderId="0" xfId="0" applyFont="1" applyFill="1" applyAlignment="1" applyProtection="1">
      <alignment horizontal="right" vertical="top" wrapText="1"/>
      <protection/>
    </xf>
    <xf numFmtId="170" fontId="3" fillId="2" borderId="0" xfId="0" applyNumberFormat="1" applyFont="1" applyFill="1" applyBorder="1" applyAlignment="1" applyProtection="1">
      <alignment horizontal="center" vertical="center"/>
      <protection/>
    </xf>
    <xf numFmtId="170" fontId="3" fillId="0" borderId="0" xfId="0" applyNumberFormat="1" applyFont="1" applyBorder="1" applyAlignment="1" applyProtection="1">
      <alignment/>
      <protection/>
    </xf>
    <xf numFmtId="170" fontId="3" fillId="3" borderId="20" xfId="0" applyNumberFormat="1" applyFont="1" applyFill="1" applyBorder="1" applyAlignment="1" applyProtection="1">
      <alignment horizontal="center" vertical="center"/>
      <protection/>
    </xf>
    <xf numFmtId="0" fontId="6" fillId="0" borderId="0" xfId="0" applyFont="1" applyFill="1" applyAlignment="1" applyProtection="1">
      <alignment horizontal="right" vertical="top" wrapText="1"/>
      <protection/>
    </xf>
    <xf numFmtId="0" fontId="0" fillId="0" borderId="10" xfId="0" applyFont="1" applyBorder="1" applyAlignment="1" applyProtection="1">
      <alignment vertical="top" wrapText="1"/>
      <protection/>
    </xf>
    <xf numFmtId="4" fontId="25" fillId="0" borderId="19" xfId="0" applyNumberFormat="1" applyFont="1" applyFill="1" applyBorder="1" applyAlignment="1" applyProtection="1">
      <alignment horizontal="left"/>
      <protection locked="0"/>
    </xf>
    <xf numFmtId="0" fontId="0" fillId="0" borderId="10" xfId="0" applyBorder="1" applyAlignment="1" applyProtection="1">
      <alignment/>
      <protection/>
    </xf>
    <xf numFmtId="4" fontId="23" fillId="0" borderId="22" xfId="0" applyNumberFormat="1" applyFont="1" applyBorder="1" applyAlignment="1" applyProtection="1">
      <alignment horizontal="left"/>
      <protection locked="0"/>
    </xf>
    <xf numFmtId="4" fontId="23" fillId="0" borderId="23" xfId="0" applyNumberFormat="1" applyFont="1" applyBorder="1" applyAlignment="1" applyProtection="1">
      <alignment/>
      <protection locked="0"/>
    </xf>
    <xf numFmtId="4" fontId="23" fillId="0" borderId="24" xfId="0" applyNumberFormat="1" applyFont="1" applyBorder="1" applyAlignment="1" applyProtection="1">
      <alignment horizontal="left"/>
      <protection locked="0"/>
    </xf>
    <xf numFmtId="4" fontId="23" fillId="0" borderId="25" xfId="0" applyNumberFormat="1" applyFont="1" applyBorder="1" applyAlignment="1" applyProtection="1">
      <alignment/>
      <protection locked="0"/>
    </xf>
    <xf numFmtId="4" fontId="23" fillId="0" borderId="26" xfId="0" applyNumberFormat="1" applyFont="1" applyBorder="1" applyAlignment="1" applyProtection="1">
      <alignment horizontal="left"/>
      <protection locked="0"/>
    </xf>
    <xf numFmtId="4" fontId="23" fillId="0" borderId="20" xfId="0" applyNumberFormat="1" applyFont="1" applyBorder="1" applyAlignment="1" applyProtection="1">
      <alignment/>
      <protection locked="0"/>
    </xf>
    <xf numFmtId="0" fontId="17" fillId="0" borderId="0" xfId="0" applyFont="1" applyBorder="1" applyAlignment="1" applyProtection="1">
      <alignment vertical="top" wrapText="1"/>
      <protection/>
    </xf>
    <xf numFmtId="0" fontId="6" fillId="0" borderId="0" xfId="0" applyNumberFormat="1" applyFont="1" applyAlignment="1" applyProtection="1">
      <alignment vertical="top" wrapText="1"/>
      <protection/>
    </xf>
    <xf numFmtId="4" fontId="3" fillId="0" borderId="0" xfId="0" applyNumberFormat="1" applyFont="1" applyAlignment="1" applyProtection="1">
      <alignment vertical="top" wrapText="1"/>
      <protection/>
    </xf>
    <xf numFmtId="4" fontId="25" fillId="0" borderId="0" xfId="0" applyNumberFormat="1" applyFont="1" applyBorder="1" applyAlignment="1" applyProtection="1">
      <alignment horizontal="left"/>
      <protection locked="0"/>
    </xf>
    <xf numFmtId="4" fontId="25" fillId="0" borderId="0" xfId="0" applyNumberFormat="1" applyFont="1" applyBorder="1" applyAlignment="1" applyProtection="1">
      <alignment/>
      <protection locked="0"/>
    </xf>
    <xf numFmtId="0" fontId="0" fillId="2" borderId="0" xfId="0" applyNumberFormat="1" applyFill="1" applyAlignment="1" applyProtection="1">
      <alignment/>
      <protection/>
    </xf>
    <xf numFmtId="0" fontId="0" fillId="2" borderId="0" xfId="0" applyFill="1" applyAlignment="1" applyProtection="1">
      <alignment/>
      <protection/>
    </xf>
    <xf numFmtId="1" fontId="23" fillId="0" borderId="27" xfId="0" applyNumberFormat="1" applyFont="1" applyBorder="1" applyAlignment="1">
      <alignment horizontal="center"/>
    </xf>
    <xf numFmtId="202" fontId="25" fillId="0" borderId="28" xfId="0" applyNumberFormat="1" applyFont="1" applyBorder="1" applyAlignment="1">
      <alignment horizontal="center"/>
    </xf>
    <xf numFmtId="202" fontId="25" fillId="0" borderId="29" xfId="0" applyNumberFormat="1" applyFont="1" applyBorder="1" applyAlignment="1">
      <alignment horizontal="center"/>
    </xf>
    <xf numFmtId="0" fontId="25" fillId="0" borderId="30" xfId="0" applyFont="1" applyBorder="1" applyAlignment="1" applyProtection="1">
      <alignment horizontal="center"/>
      <protection locked="0"/>
    </xf>
    <xf numFmtId="0" fontId="0" fillId="0" borderId="0" xfId="0" applyAlignment="1" applyProtection="1">
      <alignment vertical="top" wrapText="1"/>
      <protection/>
    </xf>
    <xf numFmtId="165" fontId="3" fillId="4" borderId="4" xfId="0" applyNumberFormat="1" applyFont="1" applyFill="1" applyBorder="1" applyAlignment="1" applyProtection="1">
      <alignment horizontal="center" vertical="center" wrapText="1"/>
      <protection locked="0"/>
    </xf>
    <xf numFmtId="0" fontId="0" fillId="0" borderId="0" xfId="0" applyAlignment="1" applyProtection="1">
      <alignment/>
      <protection/>
    </xf>
    <xf numFmtId="165" fontId="3" fillId="5" borderId="4" xfId="0" applyNumberFormat="1" applyFont="1" applyFill="1" applyBorder="1" applyAlignment="1" applyProtection="1">
      <alignment horizontal="center" vertical="center" wrapText="1"/>
      <protection locked="0"/>
    </xf>
    <xf numFmtId="0" fontId="0" fillId="2" borderId="0" xfId="0" applyFill="1" applyBorder="1" applyAlignment="1" applyProtection="1">
      <alignment/>
      <protection/>
    </xf>
    <xf numFmtId="1" fontId="3" fillId="2" borderId="0" xfId="0" applyNumberFormat="1" applyFont="1" applyFill="1" applyBorder="1" applyAlignment="1" applyProtection="1">
      <alignment horizontal="center" vertical="center"/>
      <protection/>
    </xf>
    <xf numFmtId="165" fontId="3" fillId="0" borderId="0" xfId="0" applyNumberFormat="1" applyFont="1" applyBorder="1" applyAlignment="1" applyProtection="1">
      <alignment/>
      <protection/>
    </xf>
    <xf numFmtId="4" fontId="25" fillId="0" borderId="0" xfId="0" applyNumberFormat="1" applyFont="1" applyBorder="1" applyAlignment="1">
      <alignment/>
    </xf>
    <xf numFmtId="4" fontId="23" fillId="0" borderId="0" xfId="0" applyNumberFormat="1" applyFont="1" applyBorder="1" applyAlignment="1" applyProtection="1">
      <alignment/>
      <protection locked="0"/>
    </xf>
    <xf numFmtId="1" fontId="23" fillId="5" borderId="27" xfId="0" applyNumberFormat="1" applyFont="1" applyFill="1" applyBorder="1" applyAlignment="1">
      <alignment horizontal="center"/>
    </xf>
    <xf numFmtId="202" fontId="25" fillId="5" borderId="6" xfId="0" applyNumberFormat="1" applyFont="1" applyFill="1" applyBorder="1" applyAlignment="1">
      <alignment horizontal="center"/>
    </xf>
    <xf numFmtId="202" fontId="25" fillId="5" borderId="7" xfId="0" applyNumberFormat="1" applyFont="1" applyFill="1" applyBorder="1" applyAlignment="1">
      <alignment horizontal="center"/>
    </xf>
    <xf numFmtId="0" fontId="25" fillId="0" borderId="27" xfId="0" applyFont="1" applyBorder="1" applyAlignment="1" applyProtection="1">
      <alignment horizontal="center"/>
      <protection locked="0"/>
    </xf>
    <xf numFmtId="1" fontId="23" fillId="5" borderId="31" xfId="0" applyNumberFormat="1" applyFont="1" applyFill="1" applyBorder="1" applyAlignment="1">
      <alignment horizontal="center"/>
    </xf>
    <xf numFmtId="202" fontId="25" fillId="5" borderId="32" xfId="0" applyNumberFormat="1" applyFont="1" applyFill="1" applyBorder="1" applyAlignment="1">
      <alignment horizontal="center"/>
    </xf>
    <xf numFmtId="202" fontId="25" fillId="5" borderId="33" xfId="0" applyNumberFormat="1" applyFont="1" applyFill="1" applyBorder="1" applyAlignment="1">
      <alignment horizontal="center"/>
    </xf>
    <xf numFmtId="0" fontId="25" fillId="0" borderId="31" xfId="0" applyFont="1" applyBorder="1" applyAlignment="1" applyProtection="1">
      <alignment horizontal="center"/>
      <protection locked="0"/>
    </xf>
    <xf numFmtId="3" fontId="25" fillId="0" borderId="0" xfId="0" applyNumberFormat="1" applyFont="1" applyBorder="1" applyAlignment="1" applyProtection="1">
      <alignment/>
      <protection locked="0"/>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2" borderId="0" xfId="0" applyNumberFormat="1" applyFill="1" applyBorder="1" applyAlignment="1" applyProtection="1">
      <alignment vertical="center"/>
      <protection/>
    </xf>
    <xf numFmtId="4" fontId="3" fillId="2" borderId="0" xfId="0" applyNumberFormat="1" applyFont="1" applyFill="1" applyBorder="1" applyAlignment="1" applyProtection="1">
      <alignment horizontal="right" vertical="top" wrapText="1"/>
      <protection/>
    </xf>
    <xf numFmtId="3" fontId="3" fillId="3" borderId="3" xfId="0" applyNumberFormat="1" applyFont="1" applyFill="1" applyBorder="1" applyAlignment="1" applyProtection="1">
      <alignment horizontal="center" vertical="center" wrapText="1"/>
      <protection locked="0"/>
    </xf>
    <xf numFmtId="1" fontId="26" fillId="0" borderId="4" xfId="0" applyNumberFormat="1" applyFont="1" applyBorder="1" applyAlignment="1" applyProtection="1">
      <alignment wrapText="1"/>
      <protection locked="0"/>
    </xf>
    <xf numFmtId="0" fontId="0" fillId="0" borderId="0" xfId="0" applyFont="1" applyBorder="1" applyAlignment="1" applyProtection="1">
      <alignment vertical="top" wrapText="1"/>
      <protection/>
    </xf>
    <xf numFmtId="0" fontId="0" fillId="0" borderId="34" xfId="0" applyBorder="1" applyAlignment="1" applyProtection="1">
      <alignment/>
      <protection/>
    </xf>
    <xf numFmtId="165" fontId="3" fillId="2" borderId="0" xfId="0" applyNumberFormat="1" applyFont="1" applyFill="1" applyBorder="1" applyAlignment="1" applyProtection="1">
      <alignment horizontal="center" vertical="center"/>
      <protection/>
    </xf>
    <xf numFmtId="4" fontId="3" fillId="5" borderId="4" xfId="0" applyNumberFormat="1" applyFont="1" applyFill="1" applyBorder="1" applyAlignment="1" applyProtection="1">
      <alignment wrapText="1"/>
      <protection locked="0"/>
    </xf>
    <xf numFmtId="3" fontId="3" fillId="3" borderId="35" xfId="0" applyNumberFormat="1" applyFont="1" applyFill="1" applyBorder="1" applyAlignment="1" applyProtection="1">
      <alignment horizontal="center" vertical="center" wrapText="1"/>
      <protection locked="0"/>
    </xf>
    <xf numFmtId="0" fontId="17" fillId="0" borderId="0" xfId="0" applyFont="1" applyAlignment="1" applyProtection="1">
      <alignment horizontal="right" vertical="top" wrapText="1"/>
      <protection/>
    </xf>
    <xf numFmtId="1" fontId="3" fillId="3" borderId="4" xfId="0" applyNumberFormat="1" applyFont="1" applyFill="1" applyBorder="1" applyAlignment="1" applyProtection="1">
      <alignment horizontal="center" vertical="center"/>
      <protection/>
    </xf>
    <xf numFmtId="0" fontId="0" fillId="5" borderId="4" xfId="0" applyFill="1" applyBorder="1" applyAlignment="1" applyProtection="1">
      <alignment wrapText="1"/>
      <protection locked="0"/>
    </xf>
    <xf numFmtId="3" fontId="3" fillId="3" borderId="4" xfId="0" applyNumberFormat="1" applyFont="1" applyFill="1" applyBorder="1" applyAlignment="1" applyProtection="1">
      <alignment horizontal="center" vertical="center" wrapText="1"/>
      <protection locked="0"/>
    </xf>
    <xf numFmtId="165" fontId="3" fillId="0" borderId="4" xfId="0" applyNumberFormat="1" applyFont="1" applyBorder="1" applyAlignment="1" applyProtection="1">
      <alignment wrapText="1"/>
      <protection locked="0"/>
    </xf>
    <xf numFmtId="1" fontId="3" fillId="0" borderId="11" xfId="0" applyNumberFormat="1" applyFont="1" applyFill="1" applyBorder="1" applyAlignment="1" applyProtection="1">
      <alignment horizontal="center" vertical="center"/>
      <protection/>
    </xf>
    <xf numFmtId="1" fontId="26" fillId="0" borderId="0" xfId="0" applyNumberFormat="1" applyFont="1" applyBorder="1" applyAlignment="1" applyProtection="1">
      <alignment/>
      <protection/>
    </xf>
    <xf numFmtId="4" fontId="0" fillId="5" borderId="4" xfId="0" applyNumberFormat="1" applyFill="1" applyBorder="1" applyAlignment="1" applyProtection="1">
      <alignment wrapText="1"/>
      <protection locked="0"/>
    </xf>
    <xf numFmtId="0" fontId="8" fillId="0" borderId="0" xfId="0" applyFont="1" applyBorder="1" applyAlignment="1" applyProtection="1">
      <alignment horizontal="left" vertical="center" wrapText="1"/>
      <protection/>
    </xf>
    <xf numFmtId="0" fontId="8" fillId="0" borderId="0" xfId="0" applyNumberFormat="1" applyFont="1" applyBorder="1" applyAlignment="1" applyProtection="1">
      <alignment horizontal="left" vertical="center" wrapText="1"/>
      <protection/>
    </xf>
    <xf numFmtId="4" fontId="8" fillId="0" borderId="0" xfId="0" applyNumberFormat="1" applyFont="1" applyBorder="1" applyAlignment="1" applyProtection="1">
      <alignment horizontal="left" vertical="center" wrapText="1"/>
      <protection/>
    </xf>
    <xf numFmtId="4" fontId="8" fillId="5" borderId="4" xfId="0" applyNumberFormat="1" applyFont="1" applyFill="1" applyBorder="1" applyAlignment="1" applyProtection="1">
      <alignment horizontal="left" vertical="center" wrapText="1"/>
      <protection locked="0"/>
    </xf>
    <xf numFmtId="3" fontId="3" fillId="3" borderId="4" xfId="0" applyNumberFormat="1" applyFont="1" applyFill="1" applyBorder="1" applyAlignment="1" applyProtection="1">
      <alignment vertical="center" wrapText="1"/>
      <protection locked="0"/>
    </xf>
    <xf numFmtId="0" fontId="0" fillId="0" borderId="4" xfId="0" applyBorder="1" applyAlignment="1" applyProtection="1">
      <alignment wrapText="1"/>
      <protection locked="0"/>
    </xf>
    <xf numFmtId="0" fontId="0" fillId="0" borderId="36" xfId="0" applyBorder="1" applyAlignment="1" applyProtection="1">
      <alignment wrapText="1"/>
      <protection locked="0"/>
    </xf>
    <xf numFmtId="0" fontId="0" fillId="0" borderId="11" xfId="0" applyBorder="1" applyAlignment="1" applyProtection="1">
      <alignment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34" xfId="0" applyBorder="1" applyAlignment="1" applyProtection="1">
      <alignment wrapText="1"/>
      <protection locked="0"/>
    </xf>
    <xf numFmtId="0" fontId="0" fillId="0" borderId="39" xfId="0" applyBorder="1" applyAlignment="1" applyProtection="1">
      <alignment wrapText="1"/>
      <protection locked="0"/>
    </xf>
    <xf numFmtId="0" fontId="0" fillId="0" borderId="5" xfId="0" applyBorder="1" applyAlignment="1" applyProtection="1">
      <alignment/>
      <protection/>
    </xf>
    <xf numFmtId="0" fontId="0" fillId="0" borderId="34" xfId="0" applyNumberFormat="1" applyBorder="1" applyAlignment="1" applyProtection="1">
      <alignment/>
      <protection/>
    </xf>
    <xf numFmtId="4" fontId="0" fillId="0" borderId="34" xfId="0" applyNumberFormat="1" applyBorder="1" applyAlignment="1" applyProtection="1">
      <alignment/>
      <protection/>
    </xf>
    <xf numFmtId="49" fontId="3" fillId="0" borderId="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xf>
    <xf numFmtId="1" fontId="3" fillId="3" borderId="40" xfId="0" applyNumberFormat="1" applyFont="1" applyFill="1" applyBorder="1" applyAlignment="1" applyProtection="1">
      <alignment horizontal="center" vertical="center"/>
      <protection/>
    </xf>
    <xf numFmtId="0" fontId="6" fillId="0" borderId="0" xfId="0" applyFont="1" applyBorder="1" applyAlignment="1" applyProtection="1">
      <alignment vertical="top" wrapText="1"/>
      <protection/>
    </xf>
    <xf numFmtId="0" fontId="6" fillId="0" borderId="0" xfId="0" applyNumberFormat="1" applyFont="1" applyBorder="1" applyAlignment="1" applyProtection="1">
      <alignment vertical="top" wrapText="1"/>
      <protection/>
    </xf>
    <xf numFmtId="4" fontId="6" fillId="0" borderId="0" xfId="0" applyNumberFormat="1" applyFont="1" applyBorder="1" applyAlignment="1" applyProtection="1">
      <alignment vertical="top" wrapText="1"/>
      <protection/>
    </xf>
    <xf numFmtId="165" fontId="3" fillId="4" borderId="4" xfId="0" applyNumberFormat="1" applyFont="1" applyFill="1" applyBorder="1" applyAlignment="1" applyProtection="1">
      <alignment horizontal="right" vertical="top" wrapText="1"/>
      <protection locked="0"/>
    </xf>
    <xf numFmtId="165" fontId="3" fillId="5" borderId="4" xfId="0" applyNumberFormat="1" applyFont="1" applyFill="1" applyBorder="1" applyAlignment="1" applyProtection="1">
      <alignment horizontal="right" vertical="top" wrapText="1"/>
      <protection locked="0"/>
    </xf>
    <xf numFmtId="0" fontId="17" fillId="0" borderId="0" xfId="0" applyFont="1" applyAlignment="1" applyProtection="1">
      <alignment vertical="top" wrapText="1"/>
      <protection/>
    </xf>
    <xf numFmtId="165" fontId="3" fillId="5" borderId="39" xfId="0" applyNumberFormat="1" applyFont="1" applyFill="1" applyBorder="1" applyAlignment="1" applyProtection="1">
      <alignment horizontal="right" vertical="top" wrapText="1"/>
      <protection locked="0"/>
    </xf>
    <xf numFmtId="0" fontId="19" fillId="0" borderId="0" xfId="0" applyFont="1" applyBorder="1" applyAlignment="1" applyProtection="1">
      <alignment vertical="top" wrapText="1"/>
      <protection/>
    </xf>
    <xf numFmtId="165" fontId="3" fillId="4" borderId="4" xfId="0" applyNumberFormat="1" applyFont="1" applyFill="1" applyBorder="1" applyAlignment="1" applyProtection="1">
      <alignment vertical="top" wrapText="1"/>
      <protection locked="0"/>
    </xf>
    <xf numFmtId="165" fontId="3" fillId="4" borderId="4" xfId="0" applyNumberFormat="1" applyFont="1" applyFill="1" applyBorder="1" applyAlignment="1" applyProtection="1">
      <alignment vertical="top" wrapText="1"/>
      <protection/>
    </xf>
    <xf numFmtId="0" fontId="6" fillId="0" borderId="0" xfId="0" applyFont="1" applyAlignment="1" applyProtection="1">
      <alignment vertical="top" wrapText="1"/>
      <protection/>
    </xf>
    <xf numFmtId="0" fontId="6" fillId="2" borderId="0" xfId="0" applyFont="1" applyFill="1" applyBorder="1" applyAlignment="1" applyProtection="1">
      <alignment horizontal="right" vertical="top" wrapText="1"/>
      <protection/>
    </xf>
    <xf numFmtId="165" fontId="3" fillId="2" borderId="11" xfId="0" applyNumberFormat="1" applyFont="1" applyFill="1" applyBorder="1" applyAlignment="1" applyProtection="1">
      <alignment horizontal="right" vertical="top" wrapText="1"/>
      <protection/>
    </xf>
    <xf numFmtId="0" fontId="6" fillId="0" borderId="41" xfId="0" applyFont="1" applyBorder="1" applyAlignment="1" applyProtection="1">
      <alignment horizontal="right" vertical="top" wrapText="1"/>
      <protection/>
    </xf>
    <xf numFmtId="0" fontId="0" fillId="2" borderId="0" xfId="0" applyFill="1" applyAlignment="1" applyProtection="1">
      <alignment/>
      <protection/>
    </xf>
    <xf numFmtId="165" fontId="3" fillId="2" borderId="34" xfId="0" applyNumberFormat="1" applyFont="1" applyFill="1" applyBorder="1" applyAlignment="1" applyProtection="1">
      <alignment horizontal="right" vertical="top" wrapText="1"/>
      <protection/>
    </xf>
    <xf numFmtId="165" fontId="3" fillId="2" borderId="0" xfId="0" applyNumberFormat="1" applyFont="1" applyFill="1" applyBorder="1" applyAlignment="1" applyProtection="1">
      <alignment horizontal="center" vertical="center"/>
      <protection/>
    </xf>
    <xf numFmtId="165" fontId="3" fillId="2" borderId="0" xfId="0" applyNumberFormat="1" applyFont="1" applyFill="1" applyBorder="1" applyAlignment="1" applyProtection="1">
      <alignment/>
      <protection/>
    </xf>
    <xf numFmtId="165" fontId="3" fillId="0" borderId="0" xfId="0" applyNumberFormat="1" applyFont="1" applyFill="1" applyBorder="1" applyAlignment="1" applyProtection="1">
      <alignment horizontal="center" vertical="center"/>
      <protection/>
    </xf>
    <xf numFmtId="165" fontId="3" fillId="0" borderId="0" xfId="0" applyNumberFormat="1" applyFont="1" applyFill="1" applyBorder="1" applyAlignment="1" applyProtection="1">
      <alignment horizontal="right" vertical="top" wrapText="1"/>
      <protection/>
    </xf>
    <xf numFmtId="165" fontId="3" fillId="2" borderId="0" xfId="0" applyNumberFormat="1" applyFont="1" applyFill="1" applyBorder="1" applyAlignment="1" applyProtection="1">
      <alignment horizontal="right" vertical="top" wrapText="1"/>
      <protection/>
    </xf>
    <xf numFmtId="0" fontId="2" fillId="0" borderId="0" xfId="20" applyFont="1" applyBorder="1" applyAlignment="1" applyProtection="1">
      <alignment horizontal="left" vertical="center" wrapText="1"/>
      <protection/>
    </xf>
    <xf numFmtId="0" fontId="2" fillId="0" borderId="0" xfId="20" applyBorder="1" applyAlignment="1" applyProtection="1">
      <alignment horizontal="left" vertical="center" wrapText="1"/>
      <protection/>
    </xf>
    <xf numFmtId="4" fontId="6" fillId="5" borderId="4" xfId="0" applyNumberFormat="1" applyFont="1" applyFill="1" applyBorder="1" applyAlignment="1" applyProtection="1">
      <alignment vertical="top" wrapText="1"/>
      <protection locked="0"/>
    </xf>
    <xf numFmtId="3" fontId="3" fillId="3" borderId="12" xfId="0" applyNumberFormat="1" applyFont="1" applyFill="1" applyBorder="1" applyAlignment="1" applyProtection="1">
      <alignment horizontal="center" vertical="center" wrapText="1"/>
      <protection locked="0"/>
    </xf>
    <xf numFmtId="3" fontId="3" fillId="3" borderId="3" xfId="0" applyNumberFormat="1" applyFont="1" applyFill="1" applyBorder="1" applyAlignment="1" applyProtection="1">
      <alignment horizontal="center" vertical="center"/>
      <protection/>
    </xf>
    <xf numFmtId="0" fontId="6" fillId="0" borderId="0" xfId="0" applyFont="1" applyBorder="1" applyAlignment="1" applyProtection="1">
      <alignment horizontal="right" vertical="center" wrapText="1"/>
      <protection/>
    </xf>
    <xf numFmtId="1" fontId="0" fillId="0" borderId="0" xfId="0" applyNumberFormat="1" applyBorder="1" applyAlignment="1" applyProtection="1">
      <alignment vertical="center"/>
      <protection/>
    </xf>
    <xf numFmtId="0" fontId="2" fillId="2" borderId="0" xfId="20" applyFill="1" applyBorder="1" applyAlignment="1" applyProtection="1">
      <alignment horizontal="left" vertical="center" wrapText="1"/>
      <protection/>
    </xf>
    <xf numFmtId="0" fontId="6" fillId="2" borderId="0" xfId="0" applyFont="1" applyFill="1" applyBorder="1" applyAlignment="1" applyProtection="1">
      <alignment horizontal="right" vertical="center" wrapText="1"/>
      <protection/>
    </xf>
    <xf numFmtId="0" fontId="0" fillId="2" borderId="0" xfId="0" applyFill="1" applyBorder="1" applyAlignment="1" applyProtection="1">
      <alignment vertical="center"/>
      <protection/>
    </xf>
    <xf numFmtId="1" fontId="0" fillId="2" borderId="0" xfId="0" applyNumberFormat="1" applyFill="1" applyBorder="1" applyAlignment="1" applyProtection="1">
      <alignment vertical="center"/>
      <protection/>
    </xf>
    <xf numFmtId="0" fontId="0" fillId="0" borderId="0" xfId="0" applyNumberFormat="1" applyAlignment="1" applyProtection="1">
      <alignment wrapText="1"/>
      <protection locked="0"/>
    </xf>
    <xf numFmtId="165" fontId="3" fillId="4" borderId="4" xfId="0" applyNumberFormat="1" applyFont="1" applyFill="1" applyBorder="1" applyAlignment="1">
      <alignment horizontal="left" vertical="top" wrapText="1"/>
    </xf>
    <xf numFmtId="199" fontId="3" fillId="5" borderId="4" xfId="0" applyNumberFormat="1" applyFont="1" applyFill="1" applyBorder="1" applyAlignment="1" applyProtection="1">
      <alignment horizontal="right" vertical="top" wrapText="1"/>
      <protection locked="0"/>
    </xf>
    <xf numFmtId="199" fontId="3" fillId="5" borderId="39" xfId="0" applyNumberFormat="1" applyFont="1" applyFill="1" applyBorder="1" applyAlignment="1" applyProtection="1">
      <alignment horizontal="right" vertical="top" wrapText="1"/>
      <protection locked="0"/>
    </xf>
    <xf numFmtId="0" fontId="19" fillId="0" borderId="0" xfId="0" applyFont="1" applyAlignment="1" applyProtection="1">
      <alignment vertical="top" wrapText="1"/>
      <protection/>
    </xf>
    <xf numFmtId="0" fontId="6" fillId="0" borderId="34" xfId="0" applyNumberFormat="1" applyFont="1" applyFill="1" applyBorder="1" applyAlignment="1" applyProtection="1">
      <alignment vertical="top" wrapText="1"/>
      <protection/>
    </xf>
    <xf numFmtId="4" fontId="3" fillId="0" borderId="34" xfId="0" applyNumberFormat="1" applyFont="1" applyFill="1" applyBorder="1" applyAlignment="1" applyProtection="1">
      <alignment horizontal="right" vertical="top" wrapText="1"/>
      <protection/>
    </xf>
    <xf numFmtId="165" fontId="3" fillId="0" borderId="0" xfId="0" applyNumberFormat="1" applyFont="1" applyFill="1" applyBorder="1" applyAlignment="1" applyProtection="1">
      <alignment vertical="top" wrapText="1"/>
      <protection/>
    </xf>
    <xf numFmtId="0" fontId="3" fillId="0" borderId="0" xfId="21" applyFont="1" applyAlignment="1">
      <alignment vertical="top" wrapText="1"/>
      <protection/>
    </xf>
    <xf numFmtId="0" fontId="3" fillId="4" borderId="4" xfId="21" applyNumberFormat="1" applyFont="1" applyFill="1" applyBorder="1" applyAlignment="1">
      <alignment horizontal="right" vertical="top" wrapText="1"/>
      <protection/>
    </xf>
    <xf numFmtId="0" fontId="19" fillId="0" borderId="0" xfId="21" applyFont="1" applyAlignment="1">
      <alignment vertical="top" wrapText="1"/>
      <protection/>
    </xf>
    <xf numFmtId="0" fontId="3" fillId="0" borderId="0" xfId="21" applyFont="1" applyAlignment="1">
      <alignment horizontal="right" vertical="top" wrapText="1"/>
      <protection/>
    </xf>
    <xf numFmtId="0" fontId="0" fillId="0" borderId="0" xfId="0" applyFont="1" applyAlignment="1" applyProtection="1">
      <alignment/>
      <protection/>
    </xf>
    <xf numFmtId="0" fontId="0" fillId="0" borderId="0" xfId="0" applyBorder="1" applyAlignment="1" applyProtection="1">
      <alignment wrapText="1"/>
      <protection/>
    </xf>
    <xf numFmtId="0" fontId="0" fillId="0" borderId="11" xfId="0" applyBorder="1" applyAlignment="1" applyProtection="1">
      <alignment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wrapText="1"/>
      <protection locked="0"/>
    </xf>
    <xf numFmtId="165" fontId="3" fillId="2" borderId="0" xfId="0" applyNumberFormat="1" applyFont="1" applyFill="1" applyBorder="1" applyAlignment="1" applyProtection="1">
      <alignment vertical="top" wrapText="1"/>
      <protection/>
    </xf>
    <xf numFmtId="0" fontId="6" fillId="0" borderId="34" xfId="0" applyNumberFormat="1" applyFont="1" applyFill="1" applyBorder="1" applyAlignment="1" applyProtection="1">
      <alignment horizontal="right" vertical="top" wrapText="1"/>
      <protection/>
    </xf>
    <xf numFmtId="0" fontId="0" fillId="0" borderId="0" xfId="0" applyFill="1" applyBorder="1" applyAlignment="1" applyProtection="1">
      <alignment/>
      <protection/>
    </xf>
    <xf numFmtId="1" fontId="0" fillId="0" borderId="0" xfId="0" applyNumberFormat="1" applyFill="1" applyBorder="1" applyAlignment="1" applyProtection="1">
      <alignment/>
      <protection/>
    </xf>
    <xf numFmtId="0" fontId="0" fillId="0" borderId="10" xfId="0" applyBorder="1" applyAlignment="1" applyProtection="1">
      <alignment wrapText="1"/>
      <protection locked="0"/>
    </xf>
    <xf numFmtId="0" fontId="0" fillId="0" borderId="0" xfId="0" applyAlignment="1" applyProtection="1">
      <alignment wrapText="1"/>
      <protection locked="0"/>
    </xf>
    <xf numFmtId="0" fontId="0" fillId="0" borderId="15" xfId="0" applyBorder="1" applyAlignment="1" applyProtection="1">
      <alignment wrapText="1"/>
      <protection locked="0"/>
    </xf>
    <xf numFmtId="1" fontId="3" fillId="0" borderId="0" xfId="0" applyNumberFormat="1" applyFont="1" applyBorder="1" applyAlignment="1" applyProtection="1">
      <alignment vertical="center"/>
      <protection/>
    </xf>
    <xf numFmtId="165" fontId="3" fillId="5" borderId="12" xfId="0" applyNumberFormat="1" applyFont="1" applyFill="1" applyBorder="1" applyAlignment="1" applyProtection="1">
      <alignment horizontal="right" vertical="top" wrapText="1"/>
      <protection locked="0"/>
    </xf>
    <xf numFmtId="1" fontId="3" fillId="2" borderId="34" xfId="0" applyNumberFormat="1" applyFont="1" applyFill="1" applyBorder="1" applyAlignment="1" applyProtection="1">
      <alignment horizontal="center" vertical="center"/>
      <protection/>
    </xf>
    <xf numFmtId="1" fontId="3" fillId="3" borderId="42" xfId="0" applyNumberFormat="1" applyFont="1" applyFill="1" applyBorder="1" applyAlignment="1" applyProtection="1">
      <alignment horizontal="center" vertical="center"/>
      <protection/>
    </xf>
    <xf numFmtId="1" fontId="3" fillId="3" borderId="4"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left" vertical="top" wrapText="1"/>
      <protection/>
    </xf>
    <xf numFmtId="199" fontId="3" fillId="5" borderId="4" xfId="0" applyNumberFormat="1" applyFont="1" applyFill="1" applyBorder="1" applyAlignment="1">
      <alignment horizontal="right" vertical="top" wrapText="1"/>
    </xf>
    <xf numFmtId="3" fontId="3" fillId="0" borderId="0" xfId="0" applyNumberFormat="1" applyFont="1" applyFill="1" applyBorder="1" applyAlignment="1" applyProtection="1">
      <alignment horizontal="center" vertical="center" wrapText="1"/>
      <protection locked="0"/>
    </xf>
    <xf numFmtId="3" fontId="3" fillId="3" borderId="43"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vertical="top" wrapText="1"/>
      <protection/>
    </xf>
    <xf numFmtId="1" fontId="0" fillId="2" borderId="0" xfId="0" applyNumberFormat="1" applyFill="1" applyBorder="1" applyAlignment="1" applyProtection="1">
      <alignment/>
      <protection/>
    </xf>
    <xf numFmtId="1" fontId="0" fillId="0" borderId="0" xfId="0" applyNumberFormat="1" applyBorder="1" applyAlignment="1" applyProtection="1">
      <alignment wrapText="1"/>
      <protection locked="0"/>
    </xf>
    <xf numFmtId="4" fontId="6" fillId="0" borderId="0" xfId="0" applyNumberFormat="1" applyFont="1" applyBorder="1" applyAlignment="1" applyProtection="1">
      <alignment vertical="top" wrapText="1"/>
      <protection locked="0"/>
    </xf>
    <xf numFmtId="0" fontId="0" fillId="2" borderId="0" xfId="0" applyFill="1" applyBorder="1" applyAlignment="1" applyProtection="1">
      <alignment/>
      <protection/>
    </xf>
    <xf numFmtId="0" fontId="0" fillId="2" borderId="0" xfId="0" applyNumberFormat="1" applyFill="1" applyBorder="1" applyAlignment="1" applyProtection="1">
      <alignment/>
      <protection/>
    </xf>
    <xf numFmtId="4" fontId="0" fillId="2" borderId="0" xfId="0" applyNumberFormat="1" applyFill="1" applyBorder="1" applyAlignment="1" applyProtection="1">
      <alignment/>
      <protection/>
    </xf>
    <xf numFmtId="165" fontId="3" fillId="3" borderId="4" xfId="0" applyNumberFormat="1" applyFont="1" applyFill="1" applyBorder="1" applyAlignment="1" applyProtection="1">
      <alignment horizontal="center" vertical="center" wrapText="1"/>
      <protection locked="0"/>
    </xf>
    <xf numFmtId="165" fontId="3" fillId="3" borderId="12" xfId="0" applyNumberFormat="1" applyFont="1" applyFill="1" applyBorder="1" applyAlignment="1" applyProtection="1">
      <alignment horizontal="center" vertical="center" wrapText="1"/>
      <protection locked="0"/>
    </xf>
    <xf numFmtId="0" fontId="3" fillId="0" borderId="0" xfId="0" applyNumberFormat="1" applyFont="1" applyBorder="1" applyAlignment="1" applyProtection="1">
      <alignment vertical="top" wrapText="1"/>
      <protection/>
    </xf>
    <xf numFmtId="3" fontId="3" fillId="3" borderId="21" xfId="0" applyNumberFormat="1" applyFont="1" applyFill="1" applyBorder="1" applyAlignment="1" applyProtection="1">
      <alignment horizontal="center" vertical="center"/>
      <protection/>
    </xf>
    <xf numFmtId="1" fontId="3" fillId="3" borderId="3" xfId="0" applyNumberFormat="1" applyFont="1" applyFill="1" applyBorder="1" applyAlignment="1" applyProtection="1">
      <alignment horizontal="center" vertical="center" wrapText="1"/>
      <protection locked="0"/>
    </xf>
    <xf numFmtId="1" fontId="3" fillId="0" borderId="0" xfId="0" applyNumberFormat="1" applyFont="1" applyFill="1" applyBorder="1" applyAlignment="1" applyProtection="1">
      <alignment horizontal="center" vertical="center" wrapText="1"/>
      <protection locked="0"/>
    </xf>
    <xf numFmtId="0" fontId="27" fillId="0" borderId="0" xfId="0" applyFont="1" applyBorder="1" applyAlignment="1" applyProtection="1">
      <alignment vertical="center" wrapText="1"/>
      <protection/>
    </xf>
    <xf numFmtId="0" fontId="6" fillId="0" borderId="0" xfId="0" applyNumberFormat="1" applyFont="1" applyAlignment="1" applyProtection="1">
      <alignment horizontal="right" vertical="top" wrapText="1"/>
      <protection/>
    </xf>
    <xf numFmtId="4" fontId="6" fillId="4" borderId="4" xfId="0" applyNumberFormat="1" applyFont="1" applyFill="1" applyBorder="1" applyAlignment="1" applyProtection="1">
      <alignment vertical="top" wrapText="1"/>
      <protection locked="0"/>
    </xf>
    <xf numFmtId="0" fontId="6" fillId="0" borderId="15" xfId="0" applyFont="1" applyFill="1" applyBorder="1" applyAlignment="1" applyProtection="1">
      <alignment horizontal="right" vertical="top" wrapText="1"/>
      <protection/>
    </xf>
    <xf numFmtId="4" fontId="3" fillId="5" borderId="39" xfId="0" applyNumberFormat="1" applyFont="1" applyFill="1" applyBorder="1" applyAlignment="1" applyProtection="1">
      <alignment horizontal="right" vertical="top" wrapText="1"/>
      <protection locked="0"/>
    </xf>
    <xf numFmtId="1" fontId="3" fillId="0" borderId="0" xfId="0" applyNumberFormat="1" applyFont="1" applyFill="1" applyAlignment="1" applyProtection="1">
      <alignment horizontal="center" vertical="center"/>
      <protection/>
    </xf>
    <xf numFmtId="4" fontId="6" fillId="4" borderId="4" xfId="0" applyNumberFormat="1" applyFont="1" applyFill="1" applyBorder="1" applyAlignment="1" applyProtection="1">
      <alignment vertical="top" wrapText="1"/>
      <protection/>
    </xf>
    <xf numFmtId="1" fontId="3" fillId="0" borderId="0" xfId="0" applyNumberFormat="1" applyFont="1" applyFill="1" applyAlignment="1" applyProtection="1">
      <alignment vertical="center"/>
      <protection/>
    </xf>
    <xf numFmtId="165" fontId="3" fillId="4" borderId="4" xfId="0" applyNumberFormat="1" applyFont="1" applyFill="1" applyBorder="1" applyAlignment="1">
      <alignment vertical="top" wrapText="1"/>
    </xf>
    <xf numFmtId="3" fontId="23" fillId="0" borderId="3" xfId="0" applyNumberFormat="1" applyFont="1" applyFill="1" applyBorder="1" applyAlignment="1">
      <alignment/>
    </xf>
    <xf numFmtId="3" fontId="23" fillId="0" borderId="13" xfId="0" applyNumberFormat="1" applyFont="1" applyFill="1" applyBorder="1" applyAlignment="1">
      <alignment horizontal="center"/>
    </xf>
    <xf numFmtId="3" fontId="23" fillId="0" borderId="14" xfId="0" applyNumberFormat="1" applyFont="1" applyFill="1" applyBorder="1" applyAlignment="1">
      <alignment horizontal="center"/>
    </xf>
    <xf numFmtId="3" fontId="0" fillId="0" borderId="44" xfId="0" applyNumberFormat="1" applyFill="1" applyBorder="1" applyAlignment="1">
      <alignment/>
    </xf>
    <xf numFmtId="4" fontId="0" fillId="8" borderId="28" xfId="0" applyNumberFormat="1" applyFill="1" applyBorder="1" applyAlignment="1">
      <alignment/>
    </xf>
    <xf numFmtId="4" fontId="0" fillId="8" borderId="23" xfId="0" applyNumberFormat="1" applyFill="1" applyBorder="1" applyAlignment="1">
      <alignment/>
    </xf>
    <xf numFmtId="0" fontId="6" fillId="0" borderId="5" xfId="0" applyNumberFormat="1" applyFont="1" applyFill="1" applyBorder="1" applyAlignment="1" applyProtection="1">
      <alignment horizontal="right" vertical="top" wrapText="1"/>
      <protection/>
    </xf>
    <xf numFmtId="4" fontId="3" fillId="0" borderId="5" xfId="0" applyNumberFormat="1" applyFont="1" applyFill="1" applyBorder="1" applyAlignment="1" applyProtection="1">
      <alignment horizontal="right" vertical="top" wrapText="1"/>
      <protection/>
    </xf>
    <xf numFmtId="3" fontId="0" fillId="0" borderId="27" xfId="0" applyNumberFormat="1" applyFill="1" applyBorder="1" applyAlignment="1">
      <alignment/>
    </xf>
    <xf numFmtId="4" fontId="0" fillId="8" borderId="6" xfId="0" applyNumberFormat="1" applyFill="1" applyBorder="1" applyAlignment="1">
      <alignment/>
    </xf>
    <xf numFmtId="4" fontId="0" fillId="8" borderId="4" xfId="0" applyNumberFormat="1" applyFill="1" applyBorder="1" applyAlignment="1">
      <alignment/>
    </xf>
    <xf numFmtId="4" fontId="3" fillId="5" borderId="12" xfId="0" applyNumberFormat="1" applyFont="1" applyFill="1" applyBorder="1" applyAlignment="1" applyProtection="1">
      <alignment horizontal="right" vertical="top" wrapText="1"/>
      <protection locked="0"/>
    </xf>
    <xf numFmtId="3" fontId="0" fillId="0" borderId="45" xfId="0" applyNumberFormat="1" applyFill="1" applyBorder="1" applyAlignment="1">
      <alignment/>
    </xf>
    <xf numFmtId="4" fontId="0" fillId="8" borderId="32" xfId="0" applyNumberFormat="1" applyFill="1" applyBorder="1" applyAlignment="1">
      <alignment/>
    </xf>
    <xf numFmtId="4" fontId="0" fillId="8" borderId="40" xfId="0" applyNumberFormat="1" applyFill="1" applyBorder="1" applyAlignment="1">
      <alignment/>
    </xf>
    <xf numFmtId="4" fontId="23" fillId="0" borderId="13" xfId="0" applyNumberFormat="1" applyFont="1" applyFill="1" applyBorder="1" applyAlignment="1">
      <alignment/>
    </xf>
    <xf numFmtId="4" fontId="23" fillId="0" borderId="14" xfId="0" applyNumberFormat="1" applyFont="1" applyFill="1" applyBorder="1" applyAlignment="1">
      <alignment/>
    </xf>
    <xf numFmtId="0" fontId="17" fillId="2" borderId="0" xfId="0" applyFont="1" applyFill="1" applyBorder="1" applyAlignment="1" applyProtection="1">
      <alignment horizontal="center" vertical="top" wrapText="1"/>
      <protection/>
    </xf>
    <xf numFmtId="165" fontId="3" fillId="2" borderId="0" xfId="0" applyNumberFormat="1" applyFont="1" applyFill="1" applyBorder="1" applyAlignment="1" applyProtection="1">
      <alignment horizontal="right" vertical="top" wrapText="1"/>
      <protection/>
    </xf>
    <xf numFmtId="0" fontId="6" fillId="2" borderId="0" xfId="0" applyFont="1" applyFill="1" applyBorder="1" applyAlignment="1" applyProtection="1">
      <alignment horizontal="center" vertical="top" wrapText="1"/>
      <protection/>
    </xf>
    <xf numFmtId="0" fontId="6" fillId="0" borderId="0" xfId="0" applyFont="1" applyAlignment="1" applyProtection="1">
      <alignment horizontal="center" vertical="top" wrapText="1"/>
      <protection/>
    </xf>
    <xf numFmtId="0" fontId="17" fillId="2" borderId="0" xfId="0" applyFont="1" applyFill="1" applyBorder="1" applyAlignment="1" applyProtection="1">
      <alignment horizontal="left" vertical="center" wrapText="1"/>
      <protection/>
    </xf>
    <xf numFmtId="0" fontId="17" fillId="2" borderId="0" xfId="0" applyNumberFormat="1" applyFont="1" applyFill="1" applyBorder="1" applyAlignment="1" applyProtection="1">
      <alignment horizontal="left" vertical="center" wrapText="1"/>
      <protection/>
    </xf>
    <xf numFmtId="4" fontId="17" fillId="2" borderId="0" xfId="0" applyNumberFormat="1" applyFont="1" applyFill="1" applyBorder="1" applyAlignment="1" applyProtection="1">
      <alignment horizontal="left" vertical="center" wrapText="1"/>
      <protection/>
    </xf>
    <xf numFmtId="3" fontId="0" fillId="0" borderId="0" xfId="0" applyNumberFormat="1" applyAlignment="1">
      <alignment/>
    </xf>
    <xf numFmtId="3" fontId="23" fillId="0" borderId="35" xfId="0" applyNumberFormat="1" applyFont="1" applyFill="1" applyBorder="1" applyAlignment="1">
      <alignment horizontal="center"/>
    </xf>
    <xf numFmtId="3" fontId="0" fillId="0" borderId="30" xfId="0" applyNumberFormat="1" applyFill="1" applyBorder="1" applyAlignment="1">
      <alignment/>
    </xf>
    <xf numFmtId="3" fontId="0" fillId="0" borderId="27" xfId="0" applyNumberFormat="1" applyBorder="1" applyAlignment="1">
      <alignment/>
    </xf>
    <xf numFmtId="1" fontId="3" fillId="3" borderId="0" xfId="0" applyNumberFormat="1" applyFont="1" applyFill="1" applyBorder="1" applyAlignment="1" applyProtection="1">
      <alignment horizontal="center" vertical="center"/>
      <protection/>
    </xf>
    <xf numFmtId="1" fontId="3" fillId="3" borderId="46" xfId="0" applyNumberFormat="1" applyFont="1" applyFill="1" applyBorder="1" applyAlignment="1" applyProtection="1">
      <alignment horizontal="center" vertical="center"/>
      <protection/>
    </xf>
    <xf numFmtId="0" fontId="28" fillId="0" borderId="0" xfId="0" applyFont="1" applyBorder="1" applyAlignment="1" applyProtection="1">
      <alignment horizontal="left"/>
      <protection/>
    </xf>
    <xf numFmtId="0" fontId="28" fillId="0" borderId="0" xfId="0" applyNumberFormat="1" applyFont="1" applyBorder="1" applyAlignment="1" applyProtection="1">
      <alignment horizontal="left"/>
      <protection/>
    </xf>
    <xf numFmtId="4" fontId="28" fillId="0" borderId="0" xfId="0" applyNumberFormat="1" applyFont="1" applyBorder="1" applyAlignment="1" applyProtection="1">
      <alignment horizontal="left"/>
      <protection/>
    </xf>
    <xf numFmtId="0" fontId="6" fillId="0" borderId="0" xfId="0" applyFont="1" applyFill="1" applyBorder="1" applyAlignment="1" applyProtection="1">
      <alignment vertical="top" wrapText="1"/>
      <protection/>
    </xf>
    <xf numFmtId="0" fontId="6" fillId="0" borderId="0" xfId="0" applyNumberFormat="1" applyFont="1" applyFill="1" applyBorder="1" applyAlignment="1" applyProtection="1">
      <alignment vertical="top" wrapText="1"/>
      <protection/>
    </xf>
    <xf numFmtId="4" fontId="6" fillId="0" borderId="0" xfId="0" applyNumberFormat="1" applyFont="1" applyFill="1" applyBorder="1" applyAlignment="1" applyProtection="1">
      <alignment vertical="top" wrapText="1"/>
      <protection/>
    </xf>
    <xf numFmtId="1" fontId="0" fillId="0" borderId="0" xfId="0" applyNumberFormat="1" applyFill="1" applyAlignment="1" applyProtection="1">
      <alignment/>
      <protection/>
    </xf>
    <xf numFmtId="0" fontId="0" fillId="0" borderId="11" xfId="0" applyBorder="1" applyAlignment="1" applyProtection="1">
      <alignment/>
      <protection/>
    </xf>
    <xf numFmtId="0" fontId="0" fillId="0" borderId="34" xfId="0" applyBorder="1" applyAlignment="1" applyProtection="1">
      <alignment/>
      <protection/>
    </xf>
    <xf numFmtId="1" fontId="3" fillId="3" borderId="20" xfId="0" applyNumberFormat="1" applyFont="1" applyFill="1" applyBorder="1" applyAlignment="1" applyProtection="1">
      <alignment horizontal="center" vertical="center" wrapText="1"/>
      <protection locked="0"/>
    </xf>
    <xf numFmtId="3" fontId="3" fillId="0" borderId="0" xfId="0" applyNumberFormat="1" applyFont="1" applyFill="1" applyAlignment="1" applyProtection="1">
      <alignment vertical="center"/>
      <protection/>
    </xf>
    <xf numFmtId="0" fontId="29" fillId="0" borderId="11" xfId="0" applyFont="1" applyBorder="1" applyAlignment="1" applyProtection="1">
      <alignment vertical="center" wrapText="1"/>
      <protection/>
    </xf>
    <xf numFmtId="0" fontId="4" fillId="0" borderId="11" xfId="0" applyFont="1" applyBorder="1" applyAlignment="1" applyProtection="1">
      <alignment vertical="center"/>
      <protection/>
    </xf>
    <xf numFmtId="0" fontId="29" fillId="0" borderId="0" xfId="0" applyFont="1" applyBorder="1" applyAlignment="1" applyProtection="1">
      <alignment vertical="center" wrapText="1"/>
      <protection/>
    </xf>
    <xf numFmtId="0" fontId="4" fillId="0" borderId="0" xfId="0" applyFont="1" applyBorder="1" applyAlignment="1" applyProtection="1">
      <alignment vertical="center"/>
      <protection/>
    </xf>
    <xf numFmtId="0" fontId="4" fillId="0" borderId="0" xfId="0" applyNumberFormat="1" applyFont="1" applyBorder="1" applyAlignment="1" applyProtection="1">
      <alignment vertical="center"/>
      <protection/>
    </xf>
    <xf numFmtId="4" fontId="4" fillId="0" borderId="0" xfId="0" applyNumberFormat="1" applyFont="1" applyBorder="1" applyAlignment="1" applyProtection="1">
      <alignment vertical="center"/>
      <protection/>
    </xf>
    <xf numFmtId="3" fontId="23" fillId="0" borderId="9" xfId="0" applyNumberFormat="1" applyFont="1" applyFill="1" applyBorder="1" applyAlignment="1" applyProtection="1">
      <alignment/>
      <protection locked="0"/>
    </xf>
    <xf numFmtId="3" fontId="23" fillId="0" borderId="47" xfId="0" applyNumberFormat="1" applyFont="1" applyFill="1" applyBorder="1" applyAlignment="1" applyProtection="1">
      <alignment horizontal="center"/>
      <protection locked="0"/>
    </xf>
    <xf numFmtId="3" fontId="23" fillId="0" borderId="21" xfId="0" applyNumberFormat="1" applyFont="1" applyFill="1" applyBorder="1" applyAlignment="1" applyProtection="1">
      <alignment horizontal="center"/>
      <protection locked="0"/>
    </xf>
    <xf numFmtId="3" fontId="23" fillId="0" borderId="48" xfId="0" applyNumberFormat="1" applyFont="1" applyFill="1" applyBorder="1" applyAlignment="1" applyProtection="1">
      <alignment horizontal="center"/>
      <protection locked="0"/>
    </xf>
    <xf numFmtId="3" fontId="25" fillId="0" borderId="22" xfId="0" applyNumberFormat="1" applyFont="1" applyFill="1" applyBorder="1" applyAlignment="1" applyProtection="1">
      <alignment/>
      <protection locked="0"/>
    </xf>
    <xf numFmtId="4" fontId="25" fillId="0" borderId="23" xfId="0" applyNumberFormat="1" applyFont="1" applyFill="1" applyBorder="1" applyAlignment="1" applyProtection="1">
      <alignment/>
      <protection locked="0"/>
    </xf>
    <xf numFmtId="4" fontId="25" fillId="0" borderId="49" xfId="0" applyNumberFormat="1" applyFont="1" applyFill="1" applyBorder="1" applyAlignment="1" applyProtection="1">
      <alignment/>
      <protection locked="0"/>
    </xf>
    <xf numFmtId="3" fontId="25" fillId="0" borderId="50" xfId="0" applyNumberFormat="1" applyFont="1" applyFill="1" applyBorder="1" applyAlignment="1" applyProtection="1">
      <alignment/>
      <protection locked="0"/>
    </xf>
    <xf numFmtId="0" fontId="17" fillId="0" borderId="34" xfId="0" applyNumberFormat="1" applyFont="1" applyBorder="1" applyAlignment="1" applyProtection="1">
      <alignment horizontal="left" vertical="center" wrapText="1"/>
      <protection/>
    </xf>
    <xf numFmtId="4" fontId="17" fillId="0" borderId="34" xfId="0" applyNumberFormat="1" applyFont="1" applyBorder="1" applyAlignment="1" applyProtection="1">
      <alignment horizontal="left" vertical="center" wrapText="1"/>
      <protection/>
    </xf>
    <xf numFmtId="3" fontId="25" fillId="0" borderId="19" xfId="0" applyNumberFormat="1" applyFont="1" applyFill="1" applyBorder="1" applyAlignment="1" applyProtection="1">
      <alignment/>
      <protection locked="0"/>
    </xf>
    <xf numFmtId="4" fontId="25" fillId="0" borderId="4" xfId="0" applyNumberFormat="1" applyFont="1" applyFill="1" applyBorder="1" applyAlignment="1">
      <alignment/>
    </xf>
    <xf numFmtId="4" fontId="25" fillId="0" borderId="51" xfId="0" applyNumberFormat="1" applyFont="1" applyFill="1" applyBorder="1" applyAlignment="1">
      <alignment/>
    </xf>
    <xf numFmtId="3" fontId="25" fillId="0" borderId="52" xfId="0" applyNumberFormat="1" applyFont="1" applyFill="1" applyBorder="1" applyAlignment="1" applyProtection="1">
      <alignment/>
      <protection locked="0"/>
    </xf>
    <xf numFmtId="0" fontId="0" fillId="0" borderId="4" xfId="20" applyNumberFormat="1" applyFont="1" applyBorder="1" applyAlignment="1">
      <alignment horizontal="center" vertical="center" wrapText="1"/>
    </xf>
    <xf numFmtId="165" fontId="3" fillId="4" borderId="39" xfId="0" applyNumberFormat="1" applyFont="1" applyFill="1" applyBorder="1" applyAlignment="1" applyProtection="1">
      <alignment horizontal="right" vertical="top" wrapText="1"/>
      <protection locked="0"/>
    </xf>
    <xf numFmtId="165" fontId="3" fillId="5" borderId="39" xfId="0" applyNumberFormat="1" applyFont="1" applyFill="1" applyBorder="1" applyAlignment="1" applyProtection="1">
      <alignment horizontal="right" vertical="top" wrapText="1"/>
      <protection locked="0"/>
    </xf>
    <xf numFmtId="4" fontId="25" fillId="0" borderId="4" xfId="0" applyNumberFormat="1" applyFont="1" applyFill="1" applyBorder="1" applyAlignment="1" applyProtection="1">
      <alignment/>
      <protection locked="0"/>
    </xf>
    <xf numFmtId="4" fontId="25" fillId="0" borderId="51" xfId="0" applyNumberFormat="1" applyFont="1" applyFill="1" applyBorder="1" applyAlignment="1" applyProtection="1">
      <alignment/>
      <protection locked="0"/>
    </xf>
    <xf numFmtId="4" fontId="17" fillId="0" borderId="15" xfId="0" applyNumberFormat="1" applyFont="1" applyBorder="1" applyAlignment="1" applyProtection="1">
      <alignment horizontal="right" vertical="top" wrapText="1"/>
      <protection/>
    </xf>
    <xf numFmtId="0" fontId="0" fillId="0" borderId="0" xfId="0" applyFont="1" applyBorder="1" applyAlignment="1" applyProtection="1">
      <alignment horizontal="left" vertical="center" wrapText="1"/>
      <protection/>
    </xf>
    <xf numFmtId="0" fontId="0" fillId="0" borderId="0" xfId="0" applyNumberFormat="1" applyFont="1" applyBorder="1" applyAlignment="1" applyProtection="1">
      <alignment horizontal="left" vertical="center" wrapText="1"/>
      <protection/>
    </xf>
    <xf numFmtId="4" fontId="0" fillId="0" borderId="34" xfId="0" applyNumberFormat="1" applyFont="1" applyBorder="1" applyAlignment="1" applyProtection="1">
      <alignment horizontal="left" vertical="center" wrapText="1"/>
      <protection/>
    </xf>
    <xf numFmtId="165" fontId="3" fillId="4" borderId="4" xfId="0" applyNumberFormat="1" applyFont="1" applyFill="1" applyBorder="1" applyAlignment="1" applyProtection="1">
      <alignment horizontal="right" vertical="top" wrapText="1"/>
      <protection locked="0"/>
    </xf>
    <xf numFmtId="165" fontId="3" fillId="3" borderId="3" xfId="0" applyNumberFormat="1" applyFont="1" applyFill="1" applyBorder="1" applyAlignment="1" applyProtection="1">
      <alignment horizontal="center" vertical="center" wrapText="1"/>
      <protection locked="0"/>
    </xf>
    <xf numFmtId="0" fontId="6" fillId="0" borderId="0" xfId="0" applyNumberFormat="1" applyFont="1" applyFill="1" applyAlignment="1" applyProtection="1">
      <alignment horizontal="right" vertical="top" wrapText="1"/>
      <protection/>
    </xf>
    <xf numFmtId="3" fontId="25" fillId="0" borderId="53" xfId="0" applyNumberFormat="1" applyFont="1" applyFill="1" applyBorder="1" applyAlignment="1" applyProtection="1">
      <alignment/>
      <protection locked="0"/>
    </xf>
    <xf numFmtId="3" fontId="25" fillId="0" borderId="54" xfId="0" applyNumberFormat="1" applyFont="1" applyFill="1" applyBorder="1" applyAlignment="1" applyProtection="1">
      <alignment/>
      <protection locked="0"/>
    </xf>
    <xf numFmtId="3" fontId="23" fillId="0" borderId="55" xfId="0" applyNumberFormat="1" applyFont="1" applyFill="1" applyBorder="1" applyAlignment="1" applyProtection="1">
      <alignment/>
      <protection locked="0"/>
    </xf>
    <xf numFmtId="4" fontId="23" fillId="0" borderId="56" xfId="0" applyNumberFormat="1" applyFont="1" applyFill="1" applyBorder="1" applyAlignment="1" applyProtection="1">
      <alignment/>
      <protection locked="0"/>
    </xf>
    <xf numFmtId="3" fontId="23" fillId="0" borderId="56" xfId="0" applyNumberFormat="1" applyFont="1" applyFill="1" applyBorder="1" applyAlignment="1" applyProtection="1">
      <alignment/>
      <protection locked="0"/>
    </xf>
    <xf numFmtId="4" fontId="23" fillId="0" borderId="53" xfId="0" applyNumberFormat="1" applyFont="1" applyFill="1" applyBorder="1" applyAlignment="1" applyProtection="1">
      <alignment/>
      <protection locked="0"/>
    </xf>
    <xf numFmtId="0" fontId="0" fillId="0" borderId="0" xfId="0" applyBorder="1" applyAlignment="1" applyProtection="1">
      <alignment horizontal="left" vertical="center" wrapText="1"/>
      <protection/>
    </xf>
    <xf numFmtId="0" fontId="0" fillId="0" borderId="34" xfId="0" applyNumberFormat="1" applyBorder="1" applyAlignment="1" applyProtection="1">
      <alignment horizontal="left" vertical="center" wrapText="1"/>
      <protection/>
    </xf>
    <xf numFmtId="4" fontId="0" fillId="0" borderId="34" xfId="0" applyNumberFormat="1" applyBorder="1" applyAlignment="1" applyProtection="1">
      <alignment horizontal="left" vertical="center" wrapText="1"/>
      <protection/>
    </xf>
    <xf numFmtId="3" fontId="23" fillId="0" borderId="53" xfId="0" applyNumberFormat="1" applyFont="1" applyFill="1" applyBorder="1" applyAlignment="1" applyProtection="1">
      <alignment/>
      <protection locked="0"/>
    </xf>
    <xf numFmtId="165" fontId="3" fillId="4" borderId="12" xfId="0" applyNumberFormat="1" applyFont="1" applyFill="1" applyBorder="1" applyAlignment="1" applyProtection="1">
      <alignment vertical="top" wrapText="1"/>
      <protection locked="0"/>
    </xf>
    <xf numFmtId="165" fontId="3" fillId="5" borderId="12" xfId="0" applyNumberFormat="1" applyFont="1" applyFill="1" applyBorder="1" applyAlignment="1" applyProtection="1">
      <alignment horizontal="right" vertical="top" wrapText="1"/>
      <protection locked="0"/>
    </xf>
    <xf numFmtId="0" fontId="6" fillId="0" borderId="0" xfId="0" applyFont="1" applyBorder="1" applyAlignment="1" applyProtection="1">
      <alignment vertical="center" wrapText="1"/>
      <protection/>
    </xf>
    <xf numFmtId="0" fontId="19" fillId="0" borderId="0" xfId="0" applyNumberFormat="1" applyFont="1" applyFill="1" applyBorder="1" applyAlignment="1" applyProtection="1">
      <alignment horizontal="center" vertical="center" wrapText="1"/>
      <protection/>
    </xf>
    <xf numFmtId="0" fontId="6" fillId="0" borderId="0" xfId="0" applyFont="1" applyFill="1" applyBorder="1" applyAlignment="1" applyProtection="1">
      <alignment vertical="center" wrapText="1"/>
      <protection/>
    </xf>
    <xf numFmtId="4" fontId="0" fillId="0" borderId="0" xfId="0" applyNumberFormat="1" applyFill="1" applyBorder="1" applyAlignment="1" applyProtection="1">
      <alignment/>
      <protection/>
    </xf>
    <xf numFmtId="165" fontId="3" fillId="4" borderId="4" xfId="0" applyNumberFormat="1" applyFont="1" applyFill="1" applyBorder="1" applyAlignment="1" applyProtection="1">
      <alignment vertical="top" wrapText="1"/>
      <protection locked="0"/>
    </xf>
    <xf numFmtId="199" fontId="3" fillId="5" borderId="4" xfId="0" applyNumberFormat="1" applyFont="1" applyFill="1" applyBorder="1" applyAlignment="1" applyProtection="1">
      <alignment horizontal="right" vertical="top" wrapText="1"/>
      <protection locked="0"/>
    </xf>
    <xf numFmtId="199" fontId="3" fillId="5" borderId="39" xfId="0" applyNumberFormat="1" applyFont="1" applyFill="1" applyBorder="1" applyAlignment="1" applyProtection="1">
      <alignment horizontal="right" vertical="top" wrapText="1"/>
      <protection locked="0"/>
    </xf>
    <xf numFmtId="0" fontId="6" fillId="0" borderId="0" xfId="0" applyFont="1" applyFill="1" applyAlignment="1" applyProtection="1">
      <alignment vertical="top" wrapText="1"/>
      <protection/>
    </xf>
    <xf numFmtId="0" fontId="0" fillId="0" borderId="34" xfId="0" applyNumberFormat="1" applyBorder="1" applyAlignment="1" applyProtection="1">
      <alignment/>
      <protection/>
    </xf>
    <xf numFmtId="4" fontId="3" fillId="0" borderId="34" xfId="0" applyNumberFormat="1" applyFont="1" applyBorder="1" applyAlignment="1" applyProtection="1">
      <alignment/>
      <protection/>
    </xf>
    <xf numFmtId="165" fontId="3" fillId="4" borderId="4" xfId="0" applyNumberFormat="1" applyFont="1" applyFill="1" applyBorder="1" applyAlignment="1">
      <alignment horizontal="center" vertical="top" wrapText="1"/>
    </xf>
    <xf numFmtId="165" fontId="3" fillId="4" borderId="12" xfId="0" applyNumberFormat="1" applyFont="1" applyFill="1" applyBorder="1" applyAlignment="1">
      <alignment horizontal="center" vertical="top" wrapText="1"/>
    </xf>
    <xf numFmtId="3" fontId="23" fillId="3" borderId="3" xfId="0" applyNumberFormat="1" applyFont="1" applyFill="1" applyBorder="1" applyAlignment="1">
      <alignment/>
    </xf>
    <xf numFmtId="3" fontId="23" fillId="3" borderId="57" xfId="0" applyNumberFormat="1" applyFont="1" applyFill="1" applyBorder="1" applyAlignment="1">
      <alignment horizontal="center"/>
    </xf>
    <xf numFmtId="3" fontId="23" fillId="3" borderId="14" xfId="0" applyNumberFormat="1" applyFont="1" applyFill="1" applyBorder="1" applyAlignment="1">
      <alignment horizontal="center"/>
    </xf>
    <xf numFmtId="3" fontId="25" fillId="0" borderId="44" xfId="0" applyNumberFormat="1" applyFont="1" applyFill="1" applyBorder="1" applyAlignment="1">
      <alignment/>
    </xf>
    <xf numFmtId="4" fontId="25" fillId="0" borderId="49" xfId="0" applyNumberFormat="1" applyFont="1" applyFill="1" applyBorder="1" applyAlignment="1">
      <alignment/>
    </xf>
    <xf numFmtId="4" fontId="25" fillId="0" borderId="23" xfId="0" applyNumberFormat="1" applyFont="1" applyFill="1" applyBorder="1" applyAlignment="1">
      <alignment/>
    </xf>
    <xf numFmtId="3" fontId="25" fillId="0" borderId="27" xfId="0" applyNumberFormat="1" applyFont="1" applyFill="1" applyBorder="1" applyAlignment="1">
      <alignment/>
    </xf>
    <xf numFmtId="3" fontId="25" fillId="0" borderId="45" xfId="0" applyNumberFormat="1" applyFont="1" applyFill="1" applyBorder="1" applyAlignment="1">
      <alignment/>
    </xf>
    <xf numFmtId="4" fontId="25" fillId="0" borderId="58" xfId="0" applyNumberFormat="1" applyFont="1" applyFill="1" applyBorder="1" applyAlignment="1">
      <alignment/>
    </xf>
    <xf numFmtId="4" fontId="25" fillId="0" borderId="20" xfId="0" applyNumberFormat="1" applyFont="1" applyFill="1" applyBorder="1" applyAlignment="1">
      <alignment/>
    </xf>
    <xf numFmtId="4" fontId="25" fillId="0" borderId="59" xfId="0" applyNumberFormat="1" applyFont="1" applyFill="1" applyBorder="1" applyAlignment="1">
      <alignment/>
    </xf>
    <xf numFmtId="4" fontId="25" fillId="0" borderId="40" xfId="0" applyNumberFormat="1" applyFont="1" applyFill="1" applyBorder="1" applyAlignment="1">
      <alignment/>
    </xf>
    <xf numFmtId="4" fontId="23" fillId="3" borderId="57" xfId="0" applyNumberFormat="1" applyFont="1" applyFill="1" applyBorder="1" applyAlignment="1">
      <alignment/>
    </xf>
    <xf numFmtId="4" fontId="23" fillId="3" borderId="14" xfId="0" applyNumberFormat="1" applyFont="1" applyFill="1" applyBorder="1" applyAlignment="1">
      <alignment/>
    </xf>
    <xf numFmtId="3" fontId="25" fillId="0" borderId="0" xfId="0" applyNumberFormat="1" applyFont="1" applyFill="1" applyAlignment="1">
      <alignment/>
    </xf>
    <xf numFmtId="3" fontId="23" fillId="0" borderId="60" xfId="0" applyNumberFormat="1" applyFont="1" applyFill="1" applyBorder="1" applyAlignment="1" applyProtection="1">
      <alignment horizontal="center"/>
      <protection locked="0"/>
    </xf>
    <xf numFmtId="3" fontId="23" fillId="0" borderId="61" xfId="0" applyNumberFormat="1" applyFont="1" applyFill="1" applyBorder="1" applyAlignment="1" applyProtection="1">
      <alignment horizontal="center"/>
      <protection locked="0"/>
    </xf>
    <xf numFmtId="3" fontId="23" fillId="0" borderId="62" xfId="0" applyNumberFormat="1" applyFont="1" applyFill="1" applyBorder="1" applyAlignment="1" applyProtection="1">
      <alignment horizontal="center"/>
      <protection locked="0"/>
    </xf>
    <xf numFmtId="3" fontId="23" fillId="0" borderId="35" xfId="0" applyNumberFormat="1" applyFont="1" applyFill="1" applyBorder="1" applyAlignment="1">
      <alignment/>
    </xf>
    <xf numFmtId="3" fontId="23" fillId="0" borderId="3" xfId="0" applyNumberFormat="1" applyFont="1" applyFill="1" applyBorder="1" applyAlignment="1" applyProtection="1">
      <alignment/>
      <protection locked="0"/>
    </xf>
    <xf numFmtId="3" fontId="23" fillId="0" borderId="15" xfId="0" applyNumberFormat="1"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locked="0"/>
    </xf>
    <xf numFmtId="3" fontId="23" fillId="0" borderId="63" xfId="0" applyNumberFormat="1" applyFont="1" applyFill="1" applyBorder="1" applyAlignment="1" applyProtection="1">
      <alignment horizontal="center"/>
      <protection locked="0"/>
    </xf>
    <xf numFmtId="3" fontId="25" fillId="0" borderId="64" xfId="0" applyNumberFormat="1" applyFont="1" applyFill="1" applyBorder="1" applyAlignment="1" applyProtection="1">
      <alignment/>
      <protection locked="0"/>
    </xf>
    <xf numFmtId="3" fontId="25" fillId="0" borderId="23" xfId="0" applyNumberFormat="1" applyFont="1" applyFill="1" applyBorder="1" applyAlignment="1" applyProtection="1">
      <alignment/>
      <protection locked="0"/>
    </xf>
    <xf numFmtId="3" fontId="25" fillId="0" borderId="49" xfId="0" applyNumberFormat="1" applyFont="1" applyFill="1" applyBorder="1" applyAlignment="1" applyProtection="1">
      <alignment/>
      <protection locked="0"/>
    </xf>
    <xf numFmtId="3" fontId="25" fillId="0" borderId="65" xfId="0" applyNumberFormat="1" applyFont="1" applyFill="1" applyBorder="1" applyAlignment="1" applyProtection="1">
      <alignment/>
      <protection locked="0"/>
    </xf>
    <xf numFmtId="3" fontId="25" fillId="0" borderId="17" xfId="0" applyNumberFormat="1" applyFont="1" applyFill="1" applyBorder="1" applyAlignment="1" applyProtection="1">
      <alignment/>
      <protection locked="0"/>
    </xf>
    <xf numFmtId="3" fontId="25" fillId="0" borderId="4" xfId="0" applyNumberFormat="1" applyFont="1" applyFill="1" applyBorder="1" applyAlignment="1" applyProtection="1">
      <alignment/>
      <protection locked="0"/>
    </xf>
    <xf numFmtId="3" fontId="25" fillId="0" borderId="51" xfId="0" applyNumberFormat="1" applyFont="1" applyFill="1" applyBorder="1" applyAlignment="1" applyProtection="1">
      <alignment/>
      <protection locked="0"/>
    </xf>
    <xf numFmtId="3" fontId="3" fillId="3" borderId="3" xfId="0" applyNumberFormat="1" applyFont="1" applyFill="1" applyBorder="1" applyAlignment="1" applyProtection="1">
      <alignment horizontal="center" vertical="center"/>
      <protection locked="0"/>
    </xf>
    <xf numFmtId="3" fontId="25" fillId="0" borderId="66" xfId="0" applyNumberFormat="1" applyFont="1" applyFill="1" applyBorder="1" applyAlignment="1" applyProtection="1">
      <alignment/>
      <protection locked="0"/>
    </xf>
    <xf numFmtId="3" fontId="25" fillId="0" borderId="40" xfId="0" applyNumberFormat="1" applyFont="1" applyFill="1" applyBorder="1" applyAlignment="1" applyProtection="1">
      <alignment/>
      <protection locked="0"/>
    </xf>
    <xf numFmtId="3" fontId="25" fillId="0" borderId="59" xfId="0" applyNumberFormat="1" applyFont="1" applyFill="1" applyBorder="1" applyAlignment="1" applyProtection="1">
      <alignment/>
      <protection locked="0"/>
    </xf>
    <xf numFmtId="1" fontId="3" fillId="0" borderId="0" xfId="0" applyNumberFormat="1"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11" xfId="0" applyNumberFormat="1" applyBorder="1" applyAlignment="1" applyProtection="1">
      <alignment horizontal="left" vertical="center" wrapText="1"/>
      <protection/>
    </xf>
    <xf numFmtId="4" fontId="0" fillId="0" borderId="11" xfId="0" applyNumberFormat="1" applyBorder="1" applyAlignment="1" applyProtection="1">
      <alignment horizontal="left" vertical="center" wrapText="1"/>
      <protection/>
    </xf>
    <xf numFmtId="0" fontId="0" fillId="0" borderId="0" xfId="0" applyAlignment="1" applyProtection="1">
      <alignment/>
      <protection locked="0"/>
    </xf>
    <xf numFmtId="0" fontId="31" fillId="2" borderId="0" xfId="0" applyFont="1" applyFill="1" applyAlignment="1">
      <alignment horizontal="center" vertical="center" textRotation="90" wrapText="1"/>
    </xf>
    <xf numFmtId="0" fontId="7" fillId="2" borderId="0" xfId="0" applyFont="1" applyFill="1" applyAlignment="1">
      <alignment horizontal="center" vertical="center" textRotation="90"/>
    </xf>
    <xf numFmtId="0" fontId="0" fillId="0" borderId="0" xfId="0" applyAlignment="1">
      <alignment/>
    </xf>
    <xf numFmtId="0" fontId="0" fillId="0" borderId="0" xfId="0" applyFill="1" applyBorder="1" applyAlignment="1">
      <alignment/>
    </xf>
    <xf numFmtId="0" fontId="0" fillId="0" borderId="15" xfId="0" applyFill="1" applyBorder="1" applyAlignment="1">
      <alignment/>
    </xf>
    <xf numFmtId="0" fontId="0" fillId="5" borderId="4" xfId="0" applyFill="1" applyBorder="1" applyAlignment="1">
      <alignment/>
    </xf>
    <xf numFmtId="0" fontId="0" fillId="0" borderId="0" xfId="0" applyFont="1" applyFill="1" applyBorder="1" applyAlignment="1">
      <alignment/>
    </xf>
    <xf numFmtId="0" fontId="0" fillId="0" borderId="0" xfId="0" applyFont="1" applyFill="1" applyAlignment="1">
      <alignment/>
    </xf>
    <xf numFmtId="0" fontId="7" fillId="0" borderId="3" xfId="0" applyFont="1" applyBorder="1" applyAlignment="1">
      <alignment vertical="center"/>
    </xf>
    <xf numFmtId="0" fontId="8" fillId="0" borderId="2" xfId="0" applyFont="1" applyBorder="1" applyAlignment="1">
      <alignment horizontal="center" vertical="center"/>
    </xf>
    <xf numFmtId="0" fontId="7" fillId="0" borderId="3" xfId="0" applyFont="1" applyBorder="1" applyAlignment="1">
      <alignment vertical="center" wrapText="1"/>
    </xf>
    <xf numFmtId="0" fontId="8" fillId="0" borderId="3" xfId="0" applyFont="1" applyBorder="1" applyAlignment="1">
      <alignment horizontal="center" vertical="center"/>
    </xf>
    <xf numFmtId="0" fontId="0" fillId="0" borderId="4" xfId="0" applyBorder="1" applyAlignment="1">
      <alignment/>
    </xf>
    <xf numFmtId="0" fontId="0" fillId="3" borderId="4" xfId="0" applyFill="1" applyBorder="1" applyAlignment="1">
      <alignment/>
    </xf>
    <xf numFmtId="0" fontId="7" fillId="0" borderId="3" xfId="0" applyFont="1" applyBorder="1" applyAlignment="1">
      <alignment/>
    </xf>
    <xf numFmtId="0" fontId="8" fillId="0" borderId="2" xfId="0" applyFont="1" applyBorder="1" applyAlignment="1">
      <alignment horizontal="left"/>
    </xf>
    <xf numFmtId="0" fontId="7" fillId="0" borderId="3" xfId="0" applyFont="1" applyBorder="1" applyAlignment="1">
      <alignment/>
    </xf>
    <xf numFmtId="0" fontId="8" fillId="0" borderId="3" xfId="0" applyFont="1" applyBorder="1" applyAlignment="1">
      <alignment horizontal="center"/>
    </xf>
    <xf numFmtId="0" fontId="0" fillId="3" borderId="7" xfId="0" applyFill="1" applyBorder="1" applyAlignment="1">
      <alignment/>
    </xf>
    <xf numFmtId="0" fontId="0" fillId="3" borderId="5" xfId="0" applyFill="1" applyBorder="1" applyAlignment="1">
      <alignment/>
    </xf>
    <xf numFmtId="0" fontId="0" fillId="3" borderId="6" xfId="0" applyFill="1" applyBorder="1" applyAlignment="1">
      <alignment/>
    </xf>
    <xf numFmtId="14" fontId="0" fillId="3" borderId="4" xfId="0" applyNumberFormat="1" applyFill="1" applyBorder="1" applyAlignment="1">
      <alignment/>
    </xf>
    <xf numFmtId="0" fontId="0" fillId="0" borderId="0" xfId="0" applyAlignment="1">
      <alignment horizontal="center"/>
    </xf>
    <xf numFmtId="0" fontId="31" fillId="2" borderId="34" xfId="0" applyFont="1" applyFill="1" applyBorder="1" applyAlignment="1">
      <alignment horizontal="center" vertical="center" textRotation="90" wrapText="1"/>
    </xf>
    <xf numFmtId="0" fontId="31" fillId="2" borderId="0" xfId="0" applyFont="1" applyFill="1" applyBorder="1" applyAlignment="1">
      <alignment horizontal="center" vertical="center" textRotation="90" wrapText="1"/>
    </xf>
    <xf numFmtId="0" fontId="8" fillId="2" borderId="0" xfId="0" applyFont="1" applyFill="1" applyAlignment="1">
      <alignment/>
    </xf>
    <xf numFmtId="0" fontId="8" fillId="2" borderId="0" xfId="0" applyFont="1" applyFill="1" applyBorder="1" applyAlignment="1">
      <alignment/>
    </xf>
    <xf numFmtId="0" fontId="3" fillId="2" borderId="15"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4" fontId="3" fillId="2" borderId="4" xfId="0" applyNumberFormat="1" applyFont="1" applyFill="1" applyBorder="1" applyAlignment="1">
      <alignment vertical="center"/>
    </xf>
    <xf numFmtId="0" fontId="3" fillId="2" borderId="4" xfId="0" applyFont="1" applyFill="1" applyBorder="1" applyAlignment="1">
      <alignment/>
    </xf>
    <xf numFmtId="4" fontId="3" fillId="2" borderId="4" xfId="0" applyNumberFormat="1" applyFont="1" applyFill="1" applyBorder="1" applyAlignment="1">
      <alignment/>
    </xf>
    <xf numFmtId="0" fontId="3" fillId="2" borderId="4" xfId="0" applyFont="1" applyFill="1" applyBorder="1" applyAlignment="1">
      <alignment wrapText="1"/>
    </xf>
    <xf numFmtId="4" fontId="3" fillId="2" borderId="4" xfId="0" applyNumberFormat="1" applyFont="1" applyFill="1" applyBorder="1" applyAlignment="1">
      <alignment wrapText="1"/>
    </xf>
    <xf numFmtId="0" fontId="3" fillId="9" borderId="4" xfId="0" applyFont="1" applyFill="1" applyBorder="1" applyAlignment="1">
      <alignment/>
    </xf>
    <xf numFmtId="0" fontId="0" fillId="2" borderId="21" xfId="0" applyFont="1" applyFill="1" applyBorder="1" applyAlignment="1">
      <alignment/>
    </xf>
    <xf numFmtId="0" fontId="7" fillId="2" borderId="2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2" xfId="0" applyFont="1" applyFill="1" applyBorder="1" applyAlignment="1">
      <alignment horizontal="center" vertical="center"/>
    </xf>
    <xf numFmtId="0" fontId="7" fillId="0" borderId="0" xfId="0" applyFont="1" applyFill="1" applyAlignment="1">
      <alignment vertical="center" textRotation="90" wrapText="1"/>
    </xf>
    <xf numFmtId="0" fontId="0" fillId="0" borderId="39" xfId="0" applyBorder="1" applyAlignment="1">
      <alignment/>
    </xf>
    <xf numFmtId="0" fontId="8" fillId="0" borderId="4" xfId="0" applyFont="1" applyBorder="1" applyAlignment="1" quotePrefix="1">
      <alignment horizontal="center"/>
    </xf>
    <xf numFmtId="0" fontId="8" fillId="4" borderId="4" xfId="0" applyFont="1" applyFill="1" applyBorder="1" applyAlignment="1" quotePrefix="1">
      <alignment horizontal="center"/>
    </xf>
    <xf numFmtId="0" fontId="8" fillId="10" borderId="4" xfId="0" applyFont="1" applyFill="1" applyBorder="1" applyAlignment="1" quotePrefix="1">
      <alignment horizontal="center"/>
    </xf>
    <xf numFmtId="0" fontId="8" fillId="5" borderId="4" xfId="0" applyFont="1" applyFill="1" applyBorder="1" applyAlignment="1" quotePrefix="1">
      <alignment horizontal="center"/>
    </xf>
    <xf numFmtId="0" fontId="8" fillId="0" borderId="4" xfId="0" applyFont="1" applyFill="1" applyBorder="1" applyAlignment="1" quotePrefix="1">
      <alignment horizontal="center"/>
    </xf>
    <xf numFmtId="0" fontId="8" fillId="6" borderId="4" xfId="0" applyFont="1" applyFill="1" applyBorder="1" applyAlignment="1" quotePrefix="1">
      <alignment horizontal="center"/>
    </xf>
    <xf numFmtId="0" fontId="8" fillId="11" borderId="4" xfId="0" applyFont="1" applyFill="1" applyBorder="1" applyAlignment="1" quotePrefix="1">
      <alignment horizontal="center"/>
    </xf>
    <xf numFmtId="0" fontId="8" fillId="12" borderId="4" xfId="0" applyFont="1" applyFill="1" applyBorder="1" applyAlignment="1" quotePrefix="1">
      <alignment horizontal="center"/>
    </xf>
    <xf numFmtId="165" fontId="3" fillId="0" borderId="4" xfId="0" applyNumberFormat="1" applyFont="1" applyBorder="1" applyAlignment="1">
      <alignment/>
    </xf>
    <xf numFmtId="0" fontId="3" fillId="0" borderId="4" xfId="0" applyFont="1" applyBorder="1" applyAlignment="1">
      <alignment vertical="center"/>
    </xf>
    <xf numFmtId="165" fontId="3" fillId="0" borderId="4" xfId="0" applyNumberFormat="1" applyFont="1" applyBorder="1" applyAlignment="1">
      <alignment vertical="center"/>
    </xf>
    <xf numFmtId="165" fontId="8" fillId="0" borderId="4" xfId="0" applyNumberFormat="1" applyFont="1" applyFill="1" applyBorder="1" applyAlignment="1">
      <alignment vertical="center" wrapText="1"/>
    </xf>
    <xf numFmtId="0" fontId="0" fillId="0" borderId="4" xfId="0" applyFill="1" applyBorder="1" applyAlignment="1">
      <alignment/>
    </xf>
    <xf numFmtId="0" fontId="0" fillId="0" borderId="0" xfId="0" applyFill="1" applyAlignment="1">
      <alignment/>
    </xf>
    <xf numFmtId="165" fontId="3" fillId="0" borderId="67" xfId="0" applyNumberFormat="1" applyFont="1" applyBorder="1" applyAlignment="1">
      <alignment vertical="center"/>
    </xf>
    <xf numFmtId="0" fontId="0" fillId="0" borderId="67" xfId="0" applyFont="1" applyBorder="1" applyAlignment="1">
      <alignment/>
    </xf>
    <xf numFmtId="0" fontId="0" fillId="0" borderId="67" xfId="0" applyBorder="1" applyAlignment="1">
      <alignment/>
    </xf>
    <xf numFmtId="0" fontId="3" fillId="3" borderId="4" xfId="0" applyFont="1" applyFill="1" applyBorder="1" applyAlignment="1">
      <alignment/>
    </xf>
    <xf numFmtId="0" fontId="3" fillId="0" borderId="4" xfId="0" applyFont="1" applyFill="1" applyBorder="1" applyAlignment="1">
      <alignment/>
    </xf>
    <xf numFmtId="0" fontId="30" fillId="0" borderId="0" xfId="0" applyFont="1" applyFill="1" applyBorder="1" applyAlignment="1">
      <alignment vertical="center"/>
    </xf>
    <xf numFmtId="0" fontId="31" fillId="2" borderId="0" xfId="0" applyFont="1" applyFill="1" applyAlignment="1">
      <alignment horizontal="center" vertical="center" textRotation="90"/>
    </xf>
    <xf numFmtId="0" fontId="16" fillId="0" borderId="46" xfId="0" applyFont="1" applyFill="1" applyBorder="1" applyAlignment="1">
      <alignment vertical="center"/>
    </xf>
    <xf numFmtId="0" fontId="7" fillId="0" borderId="3" xfId="0" applyFont="1" applyBorder="1" applyAlignment="1" applyProtection="1">
      <alignment vertical="center"/>
      <protection/>
    </xf>
    <xf numFmtId="0" fontId="7" fillId="0" borderId="3" xfId="0" applyFont="1" applyBorder="1" applyAlignment="1" applyProtection="1">
      <alignment vertical="center" wrapText="1"/>
      <protection/>
    </xf>
    <xf numFmtId="0" fontId="8" fillId="0" borderId="3" xfId="0" applyFont="1" applyBorder="1" applyAlignment="1" applyProtection="1">
      <alignment horizontal="center" vertical="center"/>
      <protection/>
    </xf>
    <xf numFmtId="0" fontId="7" fillId="0" borderId="3" xfId="0" applyFont="1" applyBorder="1" applyAlignment="1" applyProtection="1">
      <alignment/>
      <protection/>
    </xf>
    <xf numFmtId="0" fontId="8" fillId="0" borderId="3" xfId="0" applyFont="1" applyBorder="1" applyAlignment="1" applyProtection="1">
      <alignment horizontal="center"/>
      <protection/>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4" xfId="0" applyFont="1" applyFill="1" applyBorder="1" applyAlignment="1">
      <alignment horizontal="center" vertical="center"/>
    </xf>
    <xf numFmtId="0" fontId="0" fillId="2" borderId="0" xfId="0" applyFill="1" applyAlignment="1">
      <alignment/>
    </xf>
    <xf numFmtId="0" fontId="3" fillId="2" borderId="4" xfId="0" applyFont="1" applyFill="1" applyBorder="1" applyAlignment="1" applyProtection="1">
      <alignment vertical="center"/>
      <protection locked="0"/>
    </xf>
    <xf numFmtId="0" fontId="3" fillId="9" borderId="4" xfId="0" applyFont="1" applyFill="1" applyBorder="1" applyAlignment="1">
      <alignment vertical="center"/>
    </xf>
    <xf numFmtId="0" fontId="3" fillId="2" borderId="4" xfId="0" applyFont="1" applyFill="1" applyBorder="1" applyAlignment="1" applyProtection="1">
      <alignment/>
      <protection locked="0"/>
    </xf>
    <xf numFmtId="0" fontId="8" fillId="2" borderId="4" xfId="0" applyFont="1" applyFill="1" applyBorder="1" applyAlignment="1" applyProtection="1">
      <alignment horizontal="center" wrapText="1"/>
      <protection locked="0"/>
    </xf>
    <xf numFmtId="0" fontId="3" fillId="0" borderId="4" xfId="0" applyFont="1" applyBorder="1" applyAlignment="1">
      <alignment/>
    </xf>
    <xf numFmtId="0" fontId="8" fillId="2" borderId="4" xfId="0"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39" fontId="3" fillId="2" borderId="4" xfId="0" applyNumberFormat="1" applyFont="1" applyFill="1" applyBorder="1" applyAlignment="1" applyProtection="1">
      <alignment vertical="center"/>
      <protection locked="0"/>
    </xf>
    <xf numFmtId="0" fontId="3" fillId="0" borderId="4" xfId="0" applyFont="1" applyBorder="1" applyAlignment="1">
      <alignment horizontal="center"/>
    </xf>
    <xf numFmtId="4" fontId="3" fillId="2" borderId="4" xfId="0" applyNumberFormat="1" applyFont="1" applyFill="1" applyBorder="1" applyAlignment="1" applyProtection="1">
      <alignment/>
      <protection locked="0"/>
    </xf>
    <xf numFmtId="3" fontId="8" fillId="2" borderId="4" xfId="0" applyNumberFormat="1" applyFont="1" applyFill="1" applyBorder="1" applyAlignment="1" applyProtection="1">
      <alignment horizontal="center" wrapText="1"/>
      <protection locked="0"/>
    </xf>
    <xf numFmtId="43" fontId="8" fillId="2" borderId="4" xfId="0" applyNumberFormat="1" applyFont="1" applyFill="1" applyBorder="1" applyAlignment="1" applyProtection="1">
      <alignment horizontal="center" vertical="center" wrapText="1"/>
      <protection locked="0"/>
    </xf>
    <xf numFmtId="39" fontId="0" fillId="2" borderId="4" xfId="0" applyNumberFormat="1" applyFont="1" applyFill="1" applyBorder="1" applyAlignment="1" applyProtection="1">
      <alignment horizontal="center" vertical="center" wrapText="1"/>
      <protection locked="0"/>
    </xf>
    <xf numFmtId="43" fontId="0" fillId="2" borderId="4" xfId="0" applyNumberFormat="1" applyFont="1" applyFill="1" applyBorder="1" applyAlignment="1" applyProtection="1">
      <alignment horizontal="center" vertical="center" wrapText="1"/>
      <protection locked="0"/>
    </xf>
    <xf numFmtId="4" fontId="0" fillId="2" borderId="4" xfId="0" applyNumberFormat="1" applyFont="1" applyFill="1" applyBorder="1" applyAlignment="1" applyProtection="1">
      <alignment horizontal="center" vertical="center" wrapText="1"/>
      <protection locked="0"/>
    </xf>
    <xf numFmtId="39" fontId="3" fillId="0" borderId="4" xfId="0" applyNumberFormat="1" applyFont="1" applyBorder="1" applyAlignment="1">
      <alignment horizontal="center"/>
    </xf>
    <xf numFmtId="39" fontId="0" fillId="2" borderId="4" xfId="0" applyNumberFormat="1" applyFill="1" applyBorder="1" applyAlignment="1" applyProtection="1">
      <alignment horizontal="center" vertical="center" wrapText="1"/>
      <protection locked="0"/>
    </xf>
    <xf numFmtId="0" fontId="3" fillId="2" borderId="4" xfId="0" applyFont="1" applyFill="1" applyBorder="1" applyAlignment="1" applyProtection="1">
      <alignment wrapText="1"/>
      <protection locked="0"/>
    </xf>
    <xf numFmtId="0" fontId="3" fillId="13" borderId="4" xfId="0" applyFont="1" applyFill="1" applyBorder="1" applyAlignment="1">
      <alignment vertical="center"/>
    </xf>
    <xf numFmtId="3" fontId="8" fillId="2" borderId="4" xfId="0" applyNumberFormat="1" applyFont="1" applyFill="1" applyBorder="1" applyAlignment="1" applyProtection="1">
      <alignment horizontal="center" vertical="center" wrapText="1"/>
      <protection locked="0"/>
    </xf>
    <xf numFmtId="3" fontId="3" fillId="2" borderId="4" xfId="0" applyNumberFormat="1" applyFont="1" applyFill="1" applyBorder="1" applyAlignment="1" applyProtection="1">
      <alignment/>
      <protection locked="0"/>
    </xf>
    <xf numFmtId="39" fontId="3" fillId="2" borderId="4" xfId="0" applyNumberFormat="1" applyFont="1" applyFill="1" applyBorder="1" applyAlignment="1" applyProtection="1">
      <alignment/>
      <protection locked="0"/>
    </xf>
    <xf numFmtId="0" fontId="8" fillId="2" borderId="6" xfId="0" applyFont="1" applyFill="1" applyBorder="1" applyAlignment="1" quotePrefix="1">
      <alignment horizontal="center"/>
    </xf>
    <xf numFmtId="0" fontId="8" fillId="2" borderId="4" xfId="0" applyFont="1" applyFill="1" applyBorder="1" applyAlignment="1" quotePrefix="1">
      <alignment horizontal="center"/>
    </xf>
    <xf numFmtId="0" fontId="0" fillId="0" borderId="34" xfId="0" applyFill="1" applyBorder="1" applyAlignment="1">
      <alignment/>
    </xf>
    <xf numFmtId="0" fontId="0" fillId="0" borderId="34" xfId="0" applyFill="1" applyBorder="1" applyAlignment="1" quotePrefix="1">
      <alignment/>
    </xf>
    <xf numFmtId="0" fontId="0" fillId="0" borderId="0" xfId="0" applyFill="1" applyBorder="1" applyAlignment="1" quotePrefix="1">
      <alignment/>
    </xf>
    <xf numFmtId="0" fontId="3" fillId="0" borderId="4" xfId="0" applyFont="1" applyBorder="1" applyAlignment="1" applyProtection="1">
      <alignment vertical="center"/>
      <protection locked="0"/>
    </xf>
    <xf numFmtId="165" fontId="3" fillId="0" borderId="4" xfId="0" applyNumberFormat="1" applyFont="1" applyBorder="1" applyAlignment="1" applyProtection="1">
      <alignment vertical="center"/>
      <protection locked="0"/>
    </xf>
    <xf numFmtId="165" fontId="3" fillId="0" borderId="7" xfId="0" applyNumberFormat="1" applyFont="1" applyBorder="1" applyAlignment="1" applyProtection="1">
      <alignment vertical="center"/>
      <protection locked="0"/>
    </xf>
    <xf numFmtId="0" fontId="3" fillId="14" borderId="7" xfId="0" applyFont="1" applyFill="1" applyBorder="1" applyAlignment="1">
      <alignment vertical="center"/>
    </xf>
    <xf numFmtId="0" fontId="3" fillId="14" borderId="5" xfId="0" applyFont="1" applyFill="1" applyBorder="1" applyAlignment="1">
      <alignment vertical="center"/>
    </xf>
    <xf numFmtId="0" fontId="3" fillId="14" borderId="6" xfId="0" applyFont="1" applyFill="1" applyBorder="1" applyAlignment="1">
      <alignment vertical="center"/>
    </xf>
    <xf numFmtId="165" fontId="3" fillId="0" borderId="4" xfId="0" applyNumberFormat="1" applyFont="1" applyBorder="1" applyAlignment="1" applyProtection="1">
      <alignment vertical="center" wrapText="1"/>
      <protection locked="0"/>
    </xf>
    <xf numFmtId="165" fontId="3" fillId="9" borderId="4" xfId="0" applyNumberFormat="1" applyFont="1" applyFill="1" applyBorder="1" applyAlignment="1" applyProtection="1">
      <alignment vertical="center"/>
      <protection locked="0"/>
    </xf>
    <xf numFmtId="165" fontId="3" fillId="14" borderId="7" xfId="0" applyNumberFormat="1" applyFont="1" applyFill="1" applyBorder="1" applyAlignment="1">
      <alignment vertical="center"/>
    </xf>
    <xf numFmtId="165" fontId="3" fillId="14" borderId="6" xfId="0" applyNumberFormat="1" applyFont="1" applyFill="1" applyBorder="1" applyAlignment="1">
      <alignment vertical="center"/>
    </xf>
    <xf numFmtId="165" fontId="3" fillId="13" borderId="6" xfId="0" applyNumberFormat="1" applyFont="1" applyFill="1" applyBorder="1" applyAlignment="1">
      <alignment vertical="center"/>
    </xf>
    <xf numFmtId="165" fontId="3" fillId="15" borderId="6" xfId="0" applyNumberFormat="1" applyFont="1" applyFill="1" applyBorder="1" applyAlignment="1">
      <alignment vertical="center"/>
    </xf>
    <xf numFmtId="165" fontId="0" fillId="0" borderId="4" xfId="0" applyNumberFormat="1" applyBorder="1" applyAlignment="1">
      <alignment/>
    </xf>
    <xf numFmtId="0" fontId="0" fillId="3" borderId="12" xfId="0" applyFill="1" applyBorder="1" applyAlignment="1">
      <alignment/>
    </xf>
    <xf numFmtId="0" fontId="0" fillId="16" borderId="12" xfId="0" applyFill="1" applyBorder="1" applyAlignment="1">
      <alignment/>
    </xf>
    <xf numFmtId="0" fontId="0" fillId="16" borderId="4" xfId="0" applyFill="1" applyBorder="1" applyAlignment="1">
      <alignment/>
    </xf>
    <xf numFmtId="165" fontId="3" fillId="0" borderId="11" xfId="0" applyNumberFormat="1" applyFont="1" applyBorder="1" applyAlignment="1" applyProtection="1">
      <alignment vertical="center"/>
      <protection locked="0"/>
    </xf>
    <xf numFmtId="0" fontId="8" fillId="0" borderId="0" xfId="0" applyFont="1" applyAlignment="1">
      <alignment horizontal="left"/>
    </xf>
    <xf numFmtId="165" fontId="3" fillId="0" borderId="67" xfId="0" applyNumberFormat="1" applyFont="1" applyBorder="1" applyAlignment="1" applyProtection="1">
      <alignment vertical="center"/>
      <protection locked="0"/>
    </xf>
    <xf numFmtId="0" fontId="3" fillId="14" borderId="68" xfId="0" applyFont="1" applyFill="1" applyBorder="1" applyAlignment="1">
      <alignment vertical="center"/>
    </xf>
    <xf numFmtId="0" fontId="3" fillId="14" borderId="69" xfId="0" applyFont="1" applyFill="1" applyBorder="1" applyAlignment="1">
      <alignment vertical="center"/>
    </xf>
    <xf numFmtId="0" fontId="3" fillId="14" borderId="70" xfId="0" applyFont="1" applyFill="1" applyBorder="1" applyAlignment="1">
      <alignment vertical="center"/>
    </xf>
    <xf numFmtId="165" fontId="13" fillId="9" borderId="67" xfId="0" applyNumberFormat="1" applyFont="1" applyFill="1" applyBorder="1" applyAlignment="1" applyProtection="1">
      <alignment vertical="center"/>
      <protection locked="0"/>
    </xf>
    <xf numFmtId="165" fontId="3" fillId="14" borderId="68" xfId="0" applyNumberFormat="1" applyFont="1" applyFill="1" applyBorder="1" applyAlignment="1">
      <alignment vertical="center"/>
    </xf>
    <xf numFmtId="165" fontId="3" fillId="14" borderId="70" xfId="0" applyNumberFormat="1" applyFont="1" applyFill="1" applyBorder="1" applyAlignment="1">
      <alignment vertical="center"/>
    </xf>
    <xf numFmtId="165" fontId="3" fillId="17" borderId="70" xfId="0" applyNumberFormat="1" applyFont="1" applyFill="1" applyBorder="1" applyAlignment="1">
      <alignment vertical="center"/>
    </xf>
    <xf numFmtId="165" fontId="3" fillId="18" borderId="70" xfId="0" applyNumberFormat="1" applyFont="1" applyFill="1" applyBorder="1" applyAlignment="1">
      <alignment vertical="center"/>
    </xf>
    <xf numFmtId="0" fontId="3" fillId="16" borderId="4" xfId="0" applyFont="1" applyFill="1" applyBorder="1" applyAlignment="1">
      <alignment/>
    </xf>
    <xf numFmtId="165" fontId="3" fillId="0" borderId="0" xfId="0" applyNumberFormat="1" applyFont="1" applyBorder="1" applyAlignment="1" applyProtection="1">
      <alignment vertical="center"/>
      <protection locked="0"/>
    </xf>
    <xf numFmtId="165" fontId="3" fillId="0" borderId="34" xfId="0" applyNumberFormat="1" applyFont="1" applyBorder="1" applyAlignment="1" applyProtection="1">
      <alignment vertical="center"/>
      <protection locked="0"/>
    </xf>
    <xf numFmtId="165" fontId="13" fillId="9" borderId="4" xfId="0" applyNumberFormat="1" applyFont="1" applyFill="1" applyBorder="1" applyAlignment="1" applyProtection="1">
      <alignment vertical="center"/>
      <protection locked="0"/>
    </xf>
    <xf numFmtId="165" fontId="3" fillId="17" borderId="6" xfId="0" applyNumberFormat="1" applyFont="1" applyFill="1" applyBorder="1" applyAlignment="1">
      <alignment vertical="center"/>
    </xf>
    <xf numFmtId="0" fontId="3" fillId="0" borderId="0" xfId="0" applyFont="1" applyBorder="1" applyAlignment="1">
      <alignment vertical="center"/>
    </xf>
    <xf numFmtId="165" fontId="3" fillId="0" borderId="0" xfId="0" applyNumberFormat="1" applyFont="1" applyBorder="1" applyAlignment="1">
      <alignment vertical="center"/>
    </xf>
    <xf numFmtId="0" fontId="3" fillId="0" borderId="0" xfId="0" applyFont="1" applyFill="1" applyBorder="1" applyAlignment="1">
      <alignment vertical="center"/>
    </xf>
    <xf numFmtId="165" fontId="3" fillId="0" borderId="0" xfId="0" applyNumberFormat="1" applyFont="1" applyFill="1" applyBorder="1" applyAlignment="1">
      <alignment vertical="center"/>
    </xf>
    <xf numFmtId="165" fontId="3" fillId="18" borderId="0" xfId="0" applyNumberFormat="1" applyFont="1" applyFill="1" applyBorder="1" applyAlignment="1">
      <alignment vertical="center"/>
    </xf>
    <xf numFmtId="0" fontId="0" fillId="0" borderId="0" xfId="0" applyBorder="1" applyAlignment="1">
      <alignment/>
    </xf>
    <xf numFmtId="165" fontId="3" fillId="9" borderId="67" xfId="0" applyNumberFormat="1" applyFont="1" applyFill="1" applyBorder="1" applyAlignment="1" applyProtection="1">
      <alignment vertical="center"/>
      <protection locked="0"/>
    </xf>
    <xf numFmtId="0" fontId="3" fillId="0" borderId="0" xfId="0" applyFont="1" applyFill="1" applyBorder="1" applyAlignment="1">
      <alignment/>
    </xf>
    <xf numFmtId="0" fontId="0" fillId="18" borderId="0" xfId="0" applyFill="1" applyBorder="1" applyAlignment="1">
      <alignment/>
    </xf>
    <xf numFmtId="0" fontId="3" fillId="0" borderId="0" xfId="0" applyNumberFormat="1" applyFont="1" applyFill="1" applyBorder="1" applyAlignment="1">
      <alignment vertical="center"/>
    </xf>
    <xf numFmtId="0" fontId="0" fillId="0" borderId="34" xfId="0" applyBorder="1" applyAlignment="1">
      <alignment/>
    </xf>
    <xf numFmtId="165" fontId="3" fillId="0" borderId="34" xfId="0" applyNumberFormat="1" applyFont="1" applyBorder="1" applyAlignment="1">
      <alignment vertical="center"/>
    </xf>
    <xf numFmtId="0" fontId="0" fillId="18" borderId="0" xfId="0" applyFill="1" applyAlignment="1">
      <alignment/>
    </xf>
    <xf numFmtId="165" fontId="3" fillId="0" borderId="11" xfId="0" applyNumberFormat="1" applyFont="1" applyBorder="1" applyAlignment="1">
      <alignment vertical="center"/>
    </xf>
    <xf numFmtId="165" fontId="3" fillId="19" borderId="67" xfId="0" applyNumberFormat="1" applyFont="1" applyFill="1" applyBorder="1" applyAlignment="1">
      <alignment vertical="center"/>
    </xf>
    <xf numFmtId="3" fontId="0" fillId="0" borderId="0" xfId="0" applyNumberFormat="1" applyBorder="1" applyAlignment="1">
      <alignment/>
    </xf>
    <xf numFmtId="165" fontId="3" fillId="0" borderId="4" xfId="0" applyNumberFormat="1" applyFont="1" applyFill="1" applyBorder="1" applyAlignment="1" applyProtection="1">
      <alignment vertical="center"/>
      <protection locked="0"/>
    </xf>
    <xf numFmtId="165" fontId="3" fillId="0" borderId="5" xfId="0" applyNumberFormat="1" applyFont="1" applyFill="1" applyBorder="1" applyAlignment="1" applyProtection="1">
      <alignment vertical="center"/>
      <protection locked="0"/>
    </xf>
    <xf numFmtId="165" fontId="3" fillId="9" borderId="7" xfId="0" applyNumberFormat="1" applyFont="1" applyFill="1" applyBorder="1" applyAlignment="1" applyProtection="1">
      <alignment vertical="center"/>
      <protection locked="0"/>
    </xf>
    <xf numFmtId="165" fontId="3" fillId="9" borderId="5" xfId="0" applyNumberFormat="1" applyFont="1" applyFill="1" applyBorder="1" applyAlignment="1" applyProtection="1">
      <alignment vertical="center"/>
      <protection locked="0"/>
    </xf>
    <xf numFmtId="0" fontId="3" fillId="9" borderId="5" xfId="0" applyFont="1" applyFill="1" applyBorder="1" applyAlignment="1">
      <alignment vertical="center"/>
    </xf>
    <xf numFmtId="165" fontId="3" fillId="14" borderId="6" xfId="0" applyNumberFormat="1" applyFont="1" applyFill="1" applyBorder="1" applyAlignment="1" applyProtection="1">
      <alignment vertical="center"/>
      <protection locked="0"/>
    </xf>
    <xf numFmtId="0" fontId="0" fillId="0" borderId="0" xfId="0" applyFill="1" applyAlignment="1" applyProtection="1">
      <alignment/>
      <protection locked="0"/>
    </xf>
    <xf numFmtId="0" fontId="3" fillId="13" borderId="6" xfId="0" applyFont="1" applyFill="1" applyBorder="1" applyAlignment="1">
      <alignment vertical="center"/>
    </xf>
    <xf numFmtId="165" fontId="3" fillId="0" borderId="4" xfId="0" applyNumberFormat="1" applyFont="1" applyFill="1" applyBorder="1" applyAlignment="1">
      <alignment vertical="center"/>
    </xf>
    <xf numFmtId="3" fontId="3" fillId="15" borderId="4" xfId="0" applyNumberFormat="1" applyFont="1" applyFill="1" applyBorder="1" applyAlignment="1">
      <alignment vertical="center"/>
    </xf>
    <xf numFmtId="0" fontId="3" fillId="17" borderId="67" xfId="0" applyFont="1" applyFill="1" applyBorder="1" applyAlignment="1">
      <alignment vertical="center"/>
    </xf>
    <xf numFmtId="0" fontId="0" fillId="0" borderId="12" xfId="0" applyBorder="1" applyAlignment="1">
      <alignment/>
    </xf>
    <xf numFmtId="0" fontId="0" fillId="0" borderId="10" xfId="0" applyBorder="1" applyAlignment="1">
      <alignment/>
    </xf>
    <xf numFmtId="0" fontId="0" fillId="0" borderId="0" xfId="0" applyBorder="1" applyAlignment="1" applyProtection="1">
      <alignment/>
      <protection locked="0"/>
    </xf>
    <xf numFmtId="0" fontId="0" fillId="0" borderId="11" xfId="0" applyBorder="1" applyAlignment="1">
      <alignment/>
    </xf>
    <xf numFmtId="0" fontId="3" fillId="17" borderId="68" xfId="0" applyFont="1" applyFill="1" applyBorder="1" applyAlignment="1">
      <alignment vertical="center"/>
    </xf>
    <xf numFmtId="0" fontId="3" fillId="19" borderId="0" xfId="0" applyFont="1" applyFill="1" applyBorder="1" applyAlignment="1" applyProtection="1">
      <alignment vertical="center"/>
      <protection/>
    </xf>
    <xf numFmtId="165" fontId="3" fillId="19" borderId="0" xfId="0" applyNumberFormat="1" applyFont="1" applyFill="1" applyBorder="1" applyAlignment="1" applyProtection="1">
      <alignment vertical="center"/>
      <protection/>
    </xf>
    <xf numFmtId="165" fontId="3" fillId="19" borderId="34" xfId="0" applyNumberFormat="1" applyFont="1" applyFill="1" applyBorder="1" applyAlignment="1" applyProtection="1">
      <alignment vertical="center"/>
      <protection/>
    </xf>
    <xf numFmtId="0" fontId="0" fillId="19" borderId="0" xfId="0" applyFill="1" applyBorder="1" applyAlignment="1" applyProtection="1">
      <alignment/>
      <protection/>
    </xf>
    <xf numFmtId="0" fontId="0" fillId="19" borderId="0" xfId="0" applyFill="1" applyAlignment="1" applyProtection="1">
      <alignment/>
      <protection/>
    </xf>
    <xf numFmtId="0" fontId="3" fillId="14" borderId="5" xfId="0" applyFont="1" applyFill="1" applyBorder="1" applyAlignment="1" applyProtection="1">
      <alignment vertical="center"/>
      <protection locked="0"/>
    </xf>
    <xf numFmtId="165" fontId="3" fillId="0" borderId="4" xfId="0" applyNumberFormat="1" applyFont="1" applyFill="1" applyBorder="1" applyAlignment="1">
      <alignment vertical="center"/>
    </xf>
    <xf numFmtId="165" fontId="3" fillId="0" borderId="5" xfId="0" applyNumberFormat="1" applyFont="1" applyFill="1" applyBorder="1" applyAlignment="1">
      <alignment vertical="center"/>
    </xf>
    <xf numFmtId="165" fontId="3" fillId="14" borderId="5" xfId="0" applyNumberFormat="1" applyFont="1" applyFill="1" applyBorder="1" applyAlignment="1">
      <alignment vertical="center"/>
    </xf>
    <xf numFmtId="0" fontId="0" fillId="0" borderId="0" xfId="0" applyAlignment="1" applyProtection="1">
      <alignment horizontal="center" vertical="center"/>
      <protection locked="0"/>
    </xf>
    <xf numFmtId="0" fontId="0" fillId="5" borderId="4" xfId="0" applyFill="1" applyBorder="1" applyAlignment="1" applyProtection="1">
      <alignment/>
      <protection/>
    </xf>
    <xf numFmtId="0" fontId="4" fillId="0" borderId="0" xfId="0" applyFont="1" applyBorder="1" applyAlignment="1" applyProtection="1">
      <alignment horizontal="right"/>
      <protection/>
    </xf>
    <xf numFmtId="0" fontId="4" fillId="0" borderId="0" xfId="0" applyFont="1" applyBorder="1" applyAlignment="1" applyProtection="1">
      <alignment/>
      <protection/>
    </xf>
    <xf numFmtId="0" fontId="8" fillId="0" borderId="0" xfId="0" applyNumberFormat="1" applyFont="1" applyBorder="1" applyAlignment="1" applyProtection="1">
      <alignment horizontal="left" vertic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0" fontId="7" fillId="0" borderId="4" xfId="0" applyFont="1" applyBorder="1" applyAlignment="1" applyProtection="1">
      <alignment vertical="center"/>
      <protection/>
    </xf>
    <xf numFmtId="0" fontId="8" fillId="0" borderId="4" xfId="0" applyFont="1" applyFill="1" applyBorder="1" applyAlignment="1" applyProtection="1">
      <alignment horizontal="center" vertical="center"/>
      <protection/>
    </xf>
    <xf numFmtId="0" fontId="7" fillId="0" borderId="4" xfId="0" applyFont="1" applyFill="1" applyBorder="1" applyAlignment="1" applyProtection="1">
      <alignment vertical="center" wrapText="1"/>
      <protection/>
    </xf>
    <xf numFmtId="0" fontId="7" fillId="0" borderId="4" xfId="0" applyFont="1" applyFill="1" applyBorder="1" applyAlignment="1" applyProtection="1">
      <alignment vertical="center"/>
      <protection/>
    </xf>
    <xf numFmtId="0" fontId="8" fillId="0" borderId="4" xfId="0" applyFont="1" applyFill="1" applyBorder="1" applyAlignment="1" applyProtection="1">
      <alignment vertical="center"/>
      <protection/>
    </xf>
    <xf numFmtId="0" fontId="7" fillId="0" borderId="3" xfId="0" applyFont="1" applyBorder="1" applyAlignment="1" applyProtection="1">
      <alignment/>
      <protection/>
    </xf>
    <xf numFmtId="0" fontId="8" fillId="0" borderId="0" xfId="0" applyNumberFormat="1" applyFont="1" applyBorder="1" applyAlignment="1" applyProtection="1">
      <alignment horizontal="left"/>
      <protection/>
    </xf>
    <xf numFmtId="0" fontId="7" fillId="0" borderId="4" xfId="0" applyFont="1" applyBorder="1" applyAlignment="1" applyProtection="1">
      <alignment/>
      <protection/>
    </xf>
    <xf numFmtId="0" fontId="8" fillId="3" borderId="4" xfId="0" applyFont="1" applyFill="1" applyBorder="1" applyAlignment="1" applyProtection="1">
      <alignment horizontal="left"/>
      <protection/>
    </xf>
    <xf numFmtId="0" fontId="7" fillId="0" borderId="4" xfId="0" applyFont="1" applyFill="1" applyBorder="1" applyAlignment="1" applyProtection="1">
      <alignment/>
      <protection/>
    </xf>
    <xf numFmtId="0" fontId="8" fillId="3" borderId="4" xfId="0" applyFont="1" applyFill="1" applyBorder="1" applyAlignment="1" applyProtection="1">
      <alignment/>
      <protection/>
    </xf>
    <xf numFmtId="0" fontId="7" fillId="0" borderId="4" xfId="0" applyFont="1" applyBorder="1" applyAlignment="1" applyProtection="1">
      <alignment horizontal="left"/>
      <protection/>
    </xf>
    <xf numFmtId="0" fontId="0" fillId="2" borderId="0" xfId="0" applyFont="1" applyFill="1" applyAlignment="1" applyProtection="1">
      <alignment/>
      <protection/>
    </xf>
    <xf numFmtId="0" fontId="3" fillId="2" borderId="0" xfId="0" applyFont="1" applyFill="1" applyBorder="1" applyAlignment="1" applyProtection="1">
      <alignment horizontal="center"/>
      <protection/>
    </xf>
    <xf numFmtId="0" fontId="3" fillId="2" borderId="0" xfId="0" applyFont="1" applyFill="1" applyBorder="1" applyAlignment="1" applyProtection="1">
      <alignment/>
      <protection/>
    </xf>
    <xf numFmtId="0" fontId="0" fillId="2" borderId="0" xfId="0" applyFont="1" applyFill="1" applyBorder="1" applyAlignment="1" applyProtection="1">
      <alignment/>
      <protection/>
    </xf>
    <xf numFmtId="0" fontId="3" fillId="2" borderId="10"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wrapText="1"/>
      <protection/>
    </xf>
    <xf numFmtId="0" fontId="0" fillId="2" borderId="0"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0" fillId="0" borderId="0" xfId="0" applyBorder="1" applyAlignment="1">
      <alignment horizontal="center" vertical="center" wrapText="1"/>
    </xf>
    <xf numFmtId="0" fontId="3" fillId="2" borderId="10" xfId="0" applyFont="1" applyFill="1" applyBorder="1" applyAlignment="1" applyProtection="1">
      <alignment horizontal="center" wrapText="1"/>
      <protection/>
    </xf>
    <xf numFmtId="0" fontId="3" fillId="0" borderId="7" xfId="0" applyFont="1" applyBorder="1" applyAlignment="1" applyProtection="1">
      <alignment wrapText="1"/>
      <protection/>
    </xf>
    <xf numFmtId="0" fontId="8" fillId="0" borderId="11" xfId="0" applyFont="1" applyBorder="1" applyAlignment="1" applyProtection="1">
      <alignment/>
      <protection/>
    </xf>
    <xf numFmtId="0" fontId="3" fillId="0" borderId="0" xfId="0" applyFont="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Border="1" applyAlignment="1" applyProtection="1">
      <alignment vertical="center" wrapText="1"/>
      <protection/>
    </xf>
    <xf numFmtId="1" fontId="3" fillId="0" borderId="0" xfId="0" applyNumberFormat="1"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34" xfId="0" applyFont="1" applyBorder="1" applyAlignment="1" applyProtection="1">
      <alignment horizontal="left"/>
      <protection/>
    </xf>
    <xf numFmtId="0" fontId="3" fillId="0" borderId="4" xfId="0" applyFont="1" applyBorder="1" applyAlignment="1" applyProtection="1">
      <alignment wrapText="1"/>
      <protection/>
    </xf>
    <xf numFmtId="0" fontId="3" fillId="0" borderId="4" xfId="0" applyFont="1" applyBorder="1" applyAlignment="1" applyProtection="1">
      <alignment/>
      <protection/>
    </xf>
    <xf numFmtId="165" fontId="3" fillId="0" borderId="4" xfId="0" applyNumberFormat="1" applyFont="1" applyBorder="1" applyAlignment="1" applyProtection="1">
      <alignment/>
      <protection/>
    </xf>
    <xf numFmtId="165" fontId="3" fillId="20" borderId="4" xfId="0" applyNumberFormat="1" applyFont="1" applyFill="1" applyBorder="1" applyAlignment="1" applyProtection="1">
      <alignment/>
      <protection/>
    </xf>
    <xf numFmtId="0" fontId="3" fillId="0" borderId="4" xfId="0" applyFont="1" applyBorder="1" applyAlignment="1" applyProtection="1">
      <alignment/>
      <protection locked="0"/>
    </xf>
    <xf numFmtId="165" fontId="3" fillId="0" borderId="4" xfId="0" applyNumberFormat="1" applyFont="1" applyBorder="1" applyAlignment="1" applyProtection="1">
      <alignment/>
      <protection locked="0"/>
    </xf>
    <xf numFmtId="165" fontId="3" fillId="14" borderId="4" xfId="0" applyNumberFormat="1" applyFont="1" applyFill="1" applyBorder="1" applyAlignment="1" applyProtection="1">
      <alignment/>
      <protection/>
    </xf>
    <xf numFmtId="165" fontId="3" fillId="0" borderId="21" xfId="0" applyNumberFormat="1" applyFont="1" applyBorder="1" applyAlignment="1" applyProtection="1">
      <alignment/>
      <protection/>
    </xf>
    <xf numFmtId="0" fontId="3" fillId="0" borderId="4" xfId="0" applyNumberFormat="1" applyFont="1" applyBorder="1" applyAlignment="1" applyProtection="1">
      <alignment horizontal="center"/>
      <protection locked="0"/>
    </xf>
    <xf numFmtId="14" fontId="3" fillId="0" borderId="4" xfId="0" applyNumberFormat="1" applyFont="1" applyBorder="1" applyAlignment="1" applyProtection="1">
      <alignment/>
      <protection locked="0"/>
    </xf>
    <xf numFmtId="14" fontId="3" fillId="0" borderId="0" xfId="0" applyNumberFormat="1" applyFont="1" applyBorder="1" applyAlignment="1" applyProtection="1">
      <alignment/>
      <protection/>
    </xf>
    <xf numFmtId="14" fontId="3" fillId="0" borderId="0" xfId="0" applyNumberFormat="1" applyFont="1" applyBorder="1" applyAlignment="1" applyProtection="1">
      <alignment horizontal="center"/>
      <protection/>
    </xf>
    <xf numFmtId="1" fontId="3" fillId="0" borderId="0" xfId="0" applyNumberFormat="1" applyFont="1" applyBorder="1" applyAlignment="1" applyProtection="1">
      <alignment/>
      <protection/>
    </xf>
    <xf numFmtId="165" fontId="3" fillId="0" borderId="0" xfId="0" applyNumberFormat="1" applyFont="1" applyBorder="1" applyAlignment="1" applyProtection="1">
      <alignment/>
      <protection/>
    </xf>
    <xf numFmtId="9" fontId="3" fillId="0" borderId="0" xfId="0" applyNumberFormat="1" applyFont="1" applyBorder="1" applyAlignment="1" applyProtection="1">
      <alignment/>
      <protection/>
    </xf>
    <xf numFmtId="0" fontId="3" fillId="3" borderId="4" xfId="0" applyFont="1" applyFill="1" applyBorder="1" applyAlignment="1" applyProtection="1" quotePrefix="1">
      <alignment/>
      <protection/>
    </xf>
    <xf numFmtId="0" fontId="3" fillId="3" borderId="4" xfId="0" applyFont="1" applyFill="1" applyBorder="1" applyAlignment="1" applyProtection="1">
      <alignment/>
      <protection/>
    </xf>
    <xf numFmtId="0" fontId="3" fillId="20" borderId="4" xfId="0" applyNumberFormat="1" applyFont="1" applyFill="1" applyBorder="1" applyAlignment="1" applyProtection="1">
      <alignment/>
      <protection/>
    </xf>
    <xf numFmtId="0" fontId="3" fillId="20" borderId="4" xfId="0" applyFont="1" applyFill="1" applyBorder="1" applyAlignment="1" applyProtection="1">
      <alignment/>
      <protection/>
    </xf>
    <xf numFmtId="0" fontId="3" fillId="2" borderId="21" xfId="0" applyFont="1" applyFill="1" applyBorder="1" applyAlignment="1" applyProtection="1">
      <alignment/>
      <protection/>
    </xf>
    <xf numFmtId="0" fontId="3" fillId="2" borderId="0" xfId="0" applyFont="1" applyFill="1" applyBorder="1" applyAlignment="1" applyProtection="1">
      <alignment/>
      <protection/>
    </xf>
    <xf numFmtId="9" fontId="0" fillId="2" borderId="0" xfId="0" applyNumberFormat="1" applyFill="1" applyBorder="1" applyAlignment="1" applyProtection="1">
      <alignment/>
      <protection/>
    </xf>
    <xf numFmtId="0" fontId="0" fillId="2" borderId="0" xfId="0" applyNumberFormat="1" applyFill="1" applyBorder="1" applyAlignment="1" applyProtection="1">
      <alignment/>
      <protection/>
    </xf>
    <xf numFmtId="0" fontId="8" fillId="0" borderId="34" xfId="0" applyFont="1" applyBorder="1" applyAlignment="1" applyProtection="1">
      <alignment horizontal="left"/>
      <protection/>
    </xf>
    <xf numFmtId="0" fontId="4" fillId="0" borderId="0" xfId="0" applyFont="1" applyAlignment="1" applyProtection="1">
      <alignment wrapText="1"/>
      <protection/>
    </xf>
    <xf numFmtId="0" fontId="3" fillId="2" borderId="11" xfId="0" applyFont="1" applyFill="1" applyBorder="1" applyAlignment="1" applyProtection="1">
      <alignment/>
      <protection/>
    </xf>
    <xf numFmtId="0" fontId="8" fillId="0" borderId="0" xfId="0" applyFont="1" applyAlignment="1" applyProtection="1">
      <alignment/>
      <protection/>
    </xf>
    <xf numFmtId="165" fontId="3" fillId="0" borderId="67" xfId="0" applyNumberFormat="1" applyFont="1" applyBorder="1" applyAlignment="1" applyProtection="1">
      <alignment/>
      <protection/>
    </xf>
    <xf numFmtId="165" fontId="3" fillId="20" borderId="67" xfId="0" applyNumberFormat="1" applyFont="1" applyFill="1" applyBorder="1" applyAlignment="1" applyProtection="1">
      <alignment/>
      <protection/>
    </xf>
    <xf numFmtId="165" fontId="3" fillId="0" borderId="71" xfId="0" applyNumberFormat="1" applyFont="1" applyBorder="1" applyAlignment="1" applyProtection="1">
      <alignment/>
      <protection/>
    </xf>
    <xf numFmtId="165" fontId="3" fillId="14" borderId="67" xfId="0" applyNumberFormat="1" applyFont="1" applyFill="1" applyBorder="1" applyAlignment="1" applyProtection="1">
      <alignment/>
      <protection/>
    </xf>
    <xf numFmtId="0" fontId="3" fillId="0" borderId="0" xfId="0" applyNumberFormat="1" applyFont="1" applyBorder="1" applyAlignment="1" applyProtection="1">
      <alignment/>
      <protection/>
    </xf>
    <xf numFmtId="0" fontId="3" fillId="0" borderId="0" xfId="0" applyNumberFormat="1" applyFont="1" applyBorder="1" applyAlignment="1" applyProtection="1">
      <alignment/>
      <protection/>
    </xf>
    <xf numFmtId="165" fontId="3" fillId="3" borderId="4" xfId="0" applyNumberFormat="1" applyFont="1" applyFill="1" applyBorder="1" applyAlignment="1" applyProtection="1">
      <alignment/>
      <protection/>
    </xf>
    <xf numFmtId="0" fontId="0" fillId="0" borderId="10" xfId="0" applyFill="1" applyBorder="1" applyAlignment="1" applyProtection="1">
      <alignment/>
      <protection/>
    </xf>
    <xf numFmtId="0" fontId="0" fillId="5" borderId="6" xfId="0" applyFill="1" applyBorder="1" applyAlignment="1" applyProtection="1">
      <alignment/>
      <protection/>
    </xf>
    <xf numFmtId="0" fontId="3" fillId="2" borderId="34" xfId="0" applyFont="1" applyFill="1" applyBorder="1" applyAlignment="1" applyProtection="1">
      <alignment/>
      <protection/>
    </xf>
    <xf numFmtId="0" fontId="0" fillId="0" borderId="15" xfId="0" applyBorder="1" applyAlignment="1" applyProtection="1">
      <alignment/>
      <protection/>
    </xf>
    <xf numFmtId="0" fontId="3" fillId="0" borderId="15" xfId="0" applyFont="1" applyFill="1" applyBorder="1" applyAlignment="1" applyProtection="1">
      <alignment/>
      <protection/>
    </xf>
    <xf numFmtId="17" fontId="3" fillId="0" borderId="4" xfId="0" applyNumberFormat="1" applyFont="1" applyBorder="1" applyAlignment="1" applyProtection="1">
      <alignment horizontal="center"/>
      <protection locked="0"/>
    </xf>
    <xf numFmtId="165" fontId="3" fillId="0" borderId="11" xfId="0" applyNumberFormat="1" applyFont="1" applyBorder="1" applyAlignment="1" applyProtection="1">
      <alignment/>
      <protection/>
    </xf>
    <xf numFmtId="0" fontId="0" fillId="0" borderId="0" xfId="0" applyNumberFormat="1" applyFill="1" applyBorder="1" applyAlignment="1" applyProtection="1">
      <alignment/>
      <protection/>
    </xf>
    <xf numFmtId="0" fontId="0" fillId="2" borderId="11" xfId="0" applyFill="1" applyBorder="1" applyAlignment="1" applyProtection="1">
      <alignment/>
      <protection/>
    </xf>
    <xf numFmtId="165" fontId="3" fillId="0" borderId="34" xfId="0" applyNumberFormat="1" applyFont="1" applyBorder="1" applyAlignment="1" applyProtection="1">
      <alignment/>
      <protection/>
    </xf>
    <xf numFmtId="0" fontId="0" fillId="2" borderId="34" xfId="0" applyFill="1" applyBorder="1" applyAlignment="1" applyProtection="1">
      <alignment/>
      <protection/>
    </xf>
    <xf numFmtId="0" fontId="0" fillId="0" borderId="0" xfId="0" applyNumberFormat="1" applyFill="1" applyAlignment="1" applyProtection="1">
      <alignment/>
      <protection/>
    </xf>
    <xf numFmtId="0" fontId="3" fillId="2" borderId="15" xfId="0" applyFont="1" applyFill="1" applyBorder="1" applyAlignment="1" applyProtection="1">
      <alignment/>
      <protection/>
    </xf>
    <xf numFmtId="165" fontId="3" fillId="2" borderId="71" xfId="0" applyNumberFormat="1" applyFont="1" applyFill="1" applyBorder="1" applyAlignment="1" applyProtection="1">
      <alignment/>
      <protection/>
    </xf>
    <xf numFmtId="0" fontId="3" fillId="0" borderId="0" xfId="0" applyFont="1" applyBorder="1" applyAlignment="1" applyProtection="1">
      <alignment horizontal="center" wrapText="1"/>
      <protection/>
    </xf>
    <xf numFmtId="0" fontId="3" fillId="0" borderId="6"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10" xfId="0" applyFont="1" applyBorder="1" applyAlignment="1" applyProtection="1">
      <alignment wrapText="1"/>
      <protection/>
    </xf>
    <xf numFmtId="0" fontId="3" fillId="0" borderId="10" xfId="0" applyFont="1" applyFill="1" applyBorder="1" applyAlignment="1" applyProtection="1">
      <alignment vertical="center" wrapText="1"/>
      <protection/>
    </xf>
    <xf numFmtId="0" fontId="3" fillId="0" borderId="0" xfId="0" applyFont="1" applyBorder="1" applyAlignment="1" applyProtection="1">
      <alignment wrapText="1"/>
      <protection/>
    </xf>
    <xf numFmtId="0" fontId="3" fillId="0" borderId="15" xfId="0" applyFont="1" applyFill="1" applyBorder="1" applyAlignment="1" applyProtection="1">
      <alignment vertical="center" wrapText="1"/>
      <protection/>
    </xf>
    <xf numFmtId="0" fontId="3" fillId="0" borderId="21" xfId="0" applyFont="1" applyBorder="1" applyAlignment="1" applyProtection="1">
      <alignment horizontal="center" vertical="center" wrapText="1"/>
      <protection/>
    </xf>
    <xf numFmtId="0" fontId="0" fillId="0" borderId="10" xfId="0" applyFont="1" applyFill="1" applyBorder="1" applyAlignment="1" applyProtection="1">
      <alignment vertical="center" wrapText="1"/>
      <protection/>
    </xf>
    <xf numFmtId="0" fontId="0" fillId="0" borderId="15" xfId="0" applyFont="1" applyFill="1" applyBorder="1" applyAlignment="1" applyProtection="1">
      <alignment vertical="center" wrapText="1"/>
      <protection/>
    </xf>
    <xf numFmtId="0" fontId="3" fillId="0" borderId="36" xfId="0" applyFont="1" applyBorder="1" applyAlignment="1" applyProtection="1">
      <alignment wrapText="1"/>
      <protection/>
    </xf>
    <xf numFmtId="0" fontId="3" fillId="0" borderId="37" xfId="0" applyFont="1" applyBorder="1" applyAlignment="1" applyProtection="1">
      <alignment wrapText="1"/>
      <protection/>
    </xf>
    <xf numFmtId="0" fontId="3" fillId="0" borderId="15" xfId="0" applyFont="1" applyBorder="1" applyAlignment="1" applyProtection="1">
      <alignment wrapText="1"/>
      <protection/>
    </xf>
    <xf numFmtId="0" fontId="3" fillId="0" borderId="21" xfId="0" applyFont="1" applyBorder="1" applyAlignment="1" applyProtection="1">
      <alignment horizontal="center" wrapText="1"/>
      <protection/>
    </xf>
    <xf numFmtId="0" fontId="8" fillId="0" borderId="34" xfId="0" applyFont="1" applyBorder="1" applyAlignment="1" applyProtection="1">
      <alignment/>
      <protection/>
    </xf>
    <xf numFmtId="165" fontId="3" fillId="2" borderId="0" xfId="0" applyNumberFormat="1" applyFont="1" applyFill="1" applyBorder="1" applyAlignment="1" applyProtection="1">
      <alignment/>
      <protection/>
    </xf>
    <xf numFmtId="2" fontId="3" fillId="0" borderId="0" xfId="0" applyNumberFormat="1" applyFont="1" applyBorder="1" applyAlignment="1" applyProtection="1">
      <alignment/>
      <protection/>
    </xf>
    <xf numFmtId="9" fontId="3" fillId="2" borderId="0" xfId="0" applyNumberFormat="1" applyFont="1" applyFill="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protection/>
    </xf>
    <xf numFmtId="0" fontId="3" fillId="0" borderId="21" xfId="0" applyFont="1" applyFill="1" applyBorder="1" applyAlignment="1" applyProtection="1">
      <alignment/>
      <protection/>
    </xf>
    <xf numFmtId="0" fontId="0" fillId="0" borderId="0" xfId="0" applyFont="1" applyFill="1" applyBorder="1" applyAlignment="1" applyProtection="1">
      <alignment/>
      <protection/>
    </xf>
    <xf numFmtId="165" fontId="3" fillId="0" borderId="72" xfId="0" applyNumberFormat="1" applyFont="1" applyBorder="1" applyAlignment="1" applyProtection="1">
      <alignment/>
      <protection/>
    </xf>
    <xf numFmtId="165" fontId="3" fillId="2" borderId="10" xfId="0" applyNumberFormat="1" applyFont="1" applyFill="1" applyBorder="1" applyAlignment="1" applyProtection="1">
      <alignment/>
      <protection/>
    </xf>
    <xf numFmtId="165" fontId="3" fillId="0" borderId="10" xfId="0" applyNumberFormat="1" applyFont="1" applyFill="1" applyBorder="1" applyAlignment="1" applyProtection="1">
      <alignment/>
      <protection/>
    </xf>
    <xf numFmtId="165" fontId="3" fillId="0" borderId="0" xfId="0" applyNumberFormat="1" applyFont="1" applyFill="1" applyBorder="1" applyAlignment="1" applyProtection="1">
      <alignment/>
      <protection/>
    </xf>
    <xf numFmtId="165" fontId="3" fillId="0" borderId="15" xfId="0" applyNumberFormat="1" applyFont="1" applyFill="1" applyBorder="1" applyAlignment="1" applyProtection="1">
      <alignment/>
      <protection/>
    </xf>
    <xf numFmtId="165" fontId="3" fillId="3" borderId="6" xfId="0" applyNumberFormat="1" applyFont="1" applyFill="1" applyBorder="1" applyAlignment="1" applyProtection="1">
      <alignment/>
      <protection/>
    </xf>
    <xf numFmtId="0" fontId="0" fillId="2" borderId="5" xfId="0" applyFill="1" applyBorder="1" applyAlignment="1" applyProtection="1">
      <alignment/>
      <protection/>
    </xf>
    <xf numFmtId="0" fontId="7" fillId="0" borderId="0" xfId="0" applyFont="1" applyAlignment="1" applyProtection="1">
      <alignment/>
      <protection/>
    </xf>
    <xf numFmtId="0" fontId="0" fillId="3" borderId="67" xfId="0" applyFill="1" applyBorder="1" applyAlignment="1" applyProtection="1">
      <alignment/>
      <protection/>
    </xf>
    <xf numFmtId="165" fontId="3" fillId="3" borderId="67" xfId="0" applyNumberFormat="1" applyFont="1" applyFill="1" applyBorder="1" applyAlignment="1" applyProtection="1">
      <alignment/>
      <protection/>
    </xf>
    <xf numFmtId="0" fontId="0" fillId="3" borderId="4" xfId="0" applyFill="1" applyBorder="1" applyAlignment="1" applyProtection="1">
      <alignment/>
      <protection/>
    </xf>
    <xf numFmtId="0" fontId="8" fillId="0" borderId="0" xfId="0" applyFont="1" applyBorder="1" applyAlignment="1" applyProtection="1">
      <alignment horizontal="left"/>
      <protection/>
    </xf>
    <xf numFmtId="0" fontId="8" fillId="0" borderId="0" xfId="0" applyFont="1" applyAlignment="1" applyProtection="1">
      <alignment wrapText="1"/>
      <protection/>
    </xf>
    <xf numFmtId="165" fontId="3" fillId="0" borderId="0" xfId="0" applyNumberFormat="1" applyFont="1" applyBorder="1" applyAlignment="1" applyProtection="1">
      <alignment vertical="center"/>
      <protection/>
    </xf>
    <xf numFmtId="165" fontId="3" fillId="0" borderId="3" xfId="0" applyNumberFormat="1" applyFont="1" applyBorder="1" applyAlignment="1" applyProtection="1">
      <alignment/>
      <protection/>
    </xf>
    <xf numFmtId="0" fontId="8" fillId="0" borderId="0" xfId="0" applyFont="1" applyAlignment="1" applyProtection="1">
      <alignment horizontal="left" wrapText="1"/>
      <protection/>
    </xf>
    <xf numFmtId="0" fontId="3" fillId="2" borderId="15" xfId="0" applyFont="1" applyFill="1" applyBorder="1" applyAlignment="1" applyProtection="1">
      <alignment vertical="center"/>
      <protection/>
    </xf>
    <xf numFmtId="0" fontId="3" fillId="3" borderId="4"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3" fillId="0" borderId="0" xfId="0" applyNumberFormat="1" applyFont="1" applyBorder="1" applyAlignment="1" applyProtection="1">
      <alignment vertical="center"/>
      <protection/>
    </xf>
    <xf numFmtId="165" fontId="3" fillId="0" borderId="4" xfId="0" applyNumberFormat="1" applyFont="1" applyBorder="1" applyAlignment="1" applyProtection="1">
      <alignment vertical="center"/>
      <protection/>
    </xf>
    <xf numFmtId="165" fontId="3" fillId="0" borderId="10" xfId="0" applyNumberFormat="1" applyFont="1" applyBorder="1" applyAlignment="1" applyProtection="1">
      <alignment vertical="center"/>
      <protection/>
    </xf>
    <xf numFmtId="0" fontId="0" fillId="0" borderId="0" xfId="0" applyFont="1" applyAlignment="1" applyProtection="1">
      <alignment horizontal="left" vertical="center" wrapText="1"/>
      <protection/>
    </xf>
    <xf numFmtId="165" fontId="3" fillId="0" borderId="34" xfId="0" applyNumberFormat="1" applyFont="1" applyBorder="1" applyAlignment="1" applyProtection="1">
      <alignment vertical="center"/>
      <protection/>
    </xf>
    <xf numFmtId="0" fontId="9" fillId="0" borderId="0" xfId="20" applyFont="1" applyAlignment="1" applyProtection="1">
      <alignment horizontal="left" vertical="center" wrapText="1"/>
      <protection/>
    </xf>
    <xf numFmtId="165" fontId="3" fillId="0" borderId="5" xfId="0" applyNumberFormat="1" applyFont="1" applyBorder="1" applyAlignment="1" applyProtection="1">
      <alignment vertical="center"/>
      <protection/>
    </xf>
    <xf numFmtId="0" fontId="3" fillId="2" borderId="5" xfId="0" applyFont="1" applyFill="1" applyBorder="1" applyAlignment="1" applyProtection="1">
      <alignment/>
      <protection/>
    </xf>
    <xf numFmtId="0" fontId="3" fillId="2" borderId="10" xfId="0" applyFont="1" applyFill="1" applyBorder="1" applyAlignment="1" applyProtection="1">
      <alignment/>
      <protection/>
    </xf>
    <xf numFmtId="165" fontId="3" fillId="2" borderId="0" xfId="0" applyNumberFormat="1" applyFont="1" applyFill="1" applyBorder="1" applyAlignment="1" applyProtection="1">
      <alignment vertical="center"/>
      <protection/>
    </xf>
    <xf numFmtId="0" fontId="7" fillId="2" borderId="0" xfId="0" applyFont="1" applyFill="1" applyBorder="1" applyAlignment="1" applyProtection="1">
      <alignment horizontal="left"/>
      <protection/>
    </xf>
    <xf numFmtId="0" fontId="7" fillId="0" borderId="46" xfId="0" applyFont="1" applyBorder="1" applyAlignment="1" applyProtection="1">
      <alignment horizontal="left"/>
      <protection/>
    </xf>
    <xf numFmtId="0" fontId="7" fillId="0" borderId="41" xfId="0" applyFont="1" applyBorder="1" applyAlignment="1" applyProtection="1">
      <alignment/>
      <protection/>
    </xf>
    <xf numFmtId="0" fontId="7" fillId="0" borderId="0" xfId="0" applyFont="1" applyBorder="1" applyAlignment="1" applyProtection="1">
      <alignment horizontal="left"/>
      <protection/>
    </xf>
    <xf numFmtId="0" fontId="7" fillId="0" borderId="62" xfId="0" applyFont="1" applyBorder="1" applyAlignment="1" applyProtection="1">
      <alignment horizontal="left"/>
      <protection/>
    </xf>
    <xf numFmtId="0" fontId="7" fillId="0" borderId="73" xfId="0" applyFont="1" applyBorder="1" applyAlignment="1" applyProtection="1">
      <alignment horizontal="left"/>
      <protection/>
    </xf>
    <xf numFmtId="0" fontId="0" fillId="0" borderId="46" xfId="0" applyBorder="1" applyAlignment="1" applyProtection="1">
      <alignment/>
      <protection/>
    </xf>
    <xf numFmtId="0" fontId="0" fillId="0" borderId="74" xfId="0" applyBorder="1" applyAlignment="1" applyProtection="1">
      <alignment/>
      <protection/>
    </xf>
    <xf numFmtId="0" fontId="0" fillId="0" borderId="0" xfId="0" applyBorder="1" applyAlignment="1" applyProtection="1">
      <alignment horizontal="left"/>
      <protection/>
    </xf>
    <xf numFmtId="0" fontId="0" fillId="2" borderId="0" xfId="0" applyFill="1" applyBorder="1" applyAlignment="1" applyProtection="1">
      <alignment/>
      <protection locked="0"/>
    </xf>
    <xf numFmtId="0" fontId="0" fillId="0" borderId="74" xfId="0" applyBorder="1" applyAlignment="1" applyProtection="1">
      <alignment horizontal="left"/>
      <protection locked="0"/>
    </xf>
    <xf numFmtId="0" fontId="0" fillId="0" borderId="41" xfId="0" applyBorder="1" applyAlignment="1" applyProtection="1">
      <alignment/>
      <protection locked="0"/>
    </xf>
    <xf numFmtId="49" fontId="0" fillId="0" borderId="9"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0" fontId="0" fillId="0" borderId="41" xfId="0" applyBorder="1" applyAlignment="1" applyProtection="1">
      <alignment/>
      <protection locked="0"/>
    </xf>
    <xf numFmtId="0" fontId="0" fillId="0" borderId="41" xfId="0" applyBorder="1" applyAlignment="1" applyProtection="1">
      <alignment/>
      <protection/>
    </xf>
    <xf numFmtId="0" fontId="3" fillId="0" borderId="0" xfId="0" applyFont="1" applyAlignment="1" applyProtection="1">
      <alignment horizontal="left"/>
      <protection/>
    </xf>
    <xf numFmtId="0" fontId="13" fillId="0" borderId="0" xfId="0" applyFont="1" applyAlignment="1" applyProtection="1">
      <alignment horizontal="left"/>
      <protection/>
    </xf>
    <xf numFmtId="0" fontId="3" fillId="0" borderId="0" xfId="0" applyFont="1" applyAlignment="1" applyProtection="1">
      <alignment vertical="top"/>
      <protection/>
    </xf>
    <xf numFmtId="0" fontId="8" fillId="0" borderId="0" xfId="0" applyFont="1" applyBorder="1" applyAlignment="1" applyProtection="1">
      <alignment horizontal="left" vertical="center"/>
      <protection/>
    </xf>
    <xf numFmtId="0" fontId="7" fillId="0" borderId="4" xfId="0" applyFont="1" applyBorder="1" applyAlignment="1" applyProtection="1">
      <alignment horizontal="left" vertical="center" wrapText="1"/>
      <protection/>
    </xf>
    <xf numFmtId="49" fontId="8" fillId="0" borderId="0" xfId="0" applyNumberFormat="1" applyFont="1" applyBorder="1" applyAlignment="1" applyProtection="1">
      <alignment horizontal="left"/>
      <protection/>
    </xf>
    <xf numFmtId="0" fontId="32" fillId="0" borderId="0" xfId="0" applyFont="1" applyBorder="1" applyAlignment="1" applyProtection="1">
      <alignment horizontal="center" vertical="center" wrapText="1"/>
      <protection/>
    </xf>
    <xf numFmtId="0" fontId="3" fillId="0" borderId="37" xfId="0" applyFont="1" applyBorder="1" applyAlignment="1" applyProtection="1">
      <alignment horizontal="center" vertical="center"/>
      <protection/>
    </xf>
    <xf numFmtId="0" fontId="3" fillId="0" borderId="39"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0" xfId="0" applyFont="1" applyAlignment="1" applyProtection="1">
      <alignment horizontal="center"/>
      <protection/>
    </xf>
    <xf numFmtId="0" fontId="3" fillId="0" borderId="0" xfId="0" applyFont="1" applyAlignment="1" applyProtection="1">
      <alignment horizontal="right"/>
      <protection/>
    </xf>
    <xf numFmtId="0" fontId="3" fillId="0" borderId="0" xfId="0" applyFont="1" applyAlignment="1" applyProtection="1">
      <alignment horizontal="right" vertical="top"/>
      <protection/>
    </xf>
    <xf numFmtId="0" fontId="0" fillId="0" borderId="62" xfId="0" applyBorder="1" applyAlignment="1" applyProtection="1">
      <alignment horizontal="left"/>
      <protection locked="0"/>
    </xf>
    <xf numFmtId="0" fontId="0" fillId="0" borderId="73" xfId="0" applyBorder="1" applyAlignment="1" applyProtection="1">
      <alignment horizontal="left"/>
      <protection locked="0"/>
    </xf>
    <xf numFmtId="0" fontId="0" fillId="0" borderId="55" xfId="0" applyBorder="1" applyAlignment="1" applyProtection="1">
      <alignment horizontal="left"/>
      <protection locked="0"/>
    </xf>
    <xf numFmtId="0" fontId="0" fillId="0" borderId="46" xfId="0" applyBorder="1" applyAlignment="1" applyProtection="1">
      <alignment horizontal="left"/>
      <protection locked="0"/>
    </xf>
    <xf numFmtId="165" fontId="3" fillId="21" borderId="4" xfId="0" applyNumberFormat="1" applyFont="1" applyFill="1" applyBorder="1" applyAlignment="1" applyProtection="1">
      <alignment/>
      <protection/>
    </xf>
    <xf numFmtId="0" fontId="3" fillId="0" borderId="0" xfId="0" applyNumberFormat="1" applyFont="1" applyBorder="1" applyAlignment="1" applyProtection="1">
      <alignment horizontal="center"/>
      <protection/>
    </xf>
    <xf numFmtId="169" fontId="3" fillId="0" borderId="0" xfId="0" applyNumberFormat="1" applyFont="1" applyBorder="1" applyAlignment="1" applyProtection="1">
      <alignment/>
      <protection/>
    </xf>
    <xf numFmtId="169" fontId="3" fillId="0" borderId="6" xfId="0" applyNumberFormat="1" applyFont="1" applyBorder="1" applyAlignment="1" applyProtection="1">
      <alignment/>
      <protection/>
    </xf>
    <xf numFmtId="49" fontId="3" fillId="2" borderId="0" xfId="0" applyNumberFormat="1" applyFont="1" applyFill="1" applyBorder="1" applyAlignment="1" applyProtection="1">
      <alignment horizontal="right" vertical="top"/>
      <protection/>
    </xf>
    <xf numFmtId="0" fontId="3" fillId="2" borderId="0" xfId="0" applyFont="1" applyFill="1" applyBorder="1" applyAlignment="1" applyProtection="1">
      <alignment horizontal="right" vertical="top"/>
      <protection/>
    </xf>
    <xf numFmtId="0" fontId="0" fillId="0" borderId="0" xfId="0" applyFont="1" applyBorder="1" applyAlignment="1" applyProtection="1">
      <alignment/>
      <protection/>
    </xf>
    <xf numFmtId="165" fontId="3" fillId="0" borderId="21" xfId="0" applyNumberFormat="1" applyFont="1" applyFill="1" applyBorder="1" applyAlignment="1" applyProtection="1">
      <alignment/>
      <protection/>
    </xf>
    <xf numFmtId="165" fontId="3" fillId="22" borderId="21" xfId="0" applyNumberFormat="1" applyFont="1" applyFill="1" applyBorder="1" applyAlignment="1" applyProtection="1">
      <alignment/>
      <protection/>
    </xf>
    <xf numFmtId="0" fontId="3" fillId="2" borderId="0" xfId="0" applyFont="1" applyFill="1" applyAlignment="1" applyProtection="1">
      <alignment/>
      <protection/>
    </xf>
    <xf numFmtId="0" fontId="3" fillId="2" borderId="0" xfId="0" applyFont="1" applyFill="1" applyBorder="1" applyAlignment="1" applyProtection="1">
      <alignment vertical="top"/>
      <protection/>
    </xf>
    <xf numFmtId="0" fontId="8" fillId="2" borderId="0" xfId="0" applyFont="1" applyFill="1" applyAlignment="1" applyProtection="1">
      <alignment/>
      <protection/>
    </xf>
    <xf numFmtId="0" fontId="3" fillId="2" borderId="0" xfId="0" applyFont="1" applyFill="1" applyAlignment="1" applyProtection="1">
      <alignment horizontal="left"/>
      <protection/>
    </xf>
    <xf numFmtId="0" fontId="0" fillId="2" borderId="0" xfId="0" applyFont="1" applyFill="1" applyAlignment="1" applyProtection="1">
      <alignment/>
      <protection/>
    </xf>
    <xf numFmtId="0" fontId="0" fillId="2" borderId="0" xfId="0" applyFont="1" applyFill="1" applyAlignment="1" applyProtection="1">
      <alignment/>
      <protection/>
    </xf>
    <xf numFmtId="49" fontId="3" fillId="2" borderId="0" xfId="0" applyNumberFormat="1" applyFont="1" applyFill="1" applyAlignment="1" applyProtection="1">
      <alignment horizontal="right" vertical="top"/>
      <protection/>
    </xf>
    <xf numFmtId="49" fontId="8" fillId="2" borderId="0" xfId="0" applyNumberFormat="1" applyFont="1" applyFill="1" applyAlignment="1" applyProtection="1">
      <alignment vertical="top"/>
      <protection/>
    </xf>
    <xf numFmtId="0" fontId="3" fillId="2" borderId="0" xfId="0" applyFont="1" applyFill="1" applyAlignment="1" applyProtection="1">
      <alignment vertical="top"/>
      <protection/>
    </xf>
    <xf numFmtId="0" fontId="8" fillId="0" borderId="0" xfId="0" applyFont="1" applyBorder="1" applyAlignment="1" applyProtection="1">
      <alignment/>
      <protection/>
    </xf>
    <xf numFmtId="0" fontId="3" fillId="0" borderId="0" xfId="0" applyFont="1" applyAlignment="1" applyProtection="1">
      <alignment horizontal="left" vertical="top"/>
      <protection/>
    </xf>
    <xf numFmtId="0" fontId="0" fillId="5" borderId="4" xfId="0" applyFill="1" applyBorder="1" applyAlignment="1" applyProtection="1">
      <alignment vertical="center"/>
      <protection/>
    </xf>
    <xf numFmtId="49" fontId="7" fillId="2" borderId="0" xfId="0" applyNumberFormat="1" applyFont="1" applyFill="1" applyAlignment="1" applyProtection="1">
      <alignment vertical="top"/>
      <protection/>
    </xf>
    <xf numFmtId="0" fontId="8" fillId="2" borderId="0" xfId="0" applyFont="1" applyFill="1" applyBorder="1" applyAlignment="1" applyProtection="1">
      <alignment vertical="top" wrapText="1"/>
      <protection/>
    </xf>
    <xf numFmtId="0" fontId="8" fillId="2" borderId="15" xfId="0" applyFont="1" applyFill="1" applyBorder="1" applyAlignment="1" applyProtection="1">
      <alignment vertical="top" wrapText="1"/>
      <protection/>
    </xf>
    <xf numFmtId="0" fontId="3" fillId="0" borderId="0" xfId="0" applyFont="1" applyAlignment="1" applyProtection="1">
      <alignment/>
      <protection/>
    </xf>
    <xf numFmtId="0" fontId="8" fillId="2" borderId="0" xfId="0" applyFont="1" applyFill="1" applyAlignment="1" applyProtection="1">
      <alignment vertical="top" wrapText="1"/>
      <protection/>
    </xf>
    <xf numFmtId="0" fontId="0" fillId="5" borderId="37" xfId="0" applyFill="1" applyBorder="1" applyAlignment="1" applyProtection="1">
      <alignment/>
      <protection/>
    </xf>
    <xf numFmtId="0" fontId="3" fillId="0" borderId="0" xfId="0" applyFont="1" applyAlignment="1" applyProtection="1">
      <alignment vertical="top"/>
      <protection/>
    </xf>
    <xf numFmtId="0" fontId="0" fillId="0" borderId="73" xfId="0" applyBorder="1" applyAlignment="1" applyProtection="1">
      <alignment vertical="top" wrapText="1"/>
      <protection locked="0"/>
    </xf>
    <xf numFmtId="0" fontId="0" fillId="0" borderId="75" xfId="0" applyBorder="1" applyAlignment="1" applyProtection="1">
      <alignment horizontal="left"/>
      <protection locked="0"/>
    </xf>
    <xf numFmtId="0" fontId="3" fillId="0" borderId="0" xfId="0" applyFont="1" applyAlignment="1" applyProtection="1">
      <alignment/>
      <protection/>
    </xf>
    <xf numFmtId="165" fontId="3" fillId="0" borderId="5" xfId="0" applyNumberFormat="1" applyFont="1" applyBorder="1" applyAlignment="1" applyProtection="1">
      <alignment/>
      <protection/>
    </xf>
    <xf numFmtId="0" fontId="3" fillId="0" borderId="0" xfId="20" applyFont="1" applyAlignment="1" applyProtection="1">
      <alignment vertical="top"/>
      <protection/>
    </xf>
    <xf numFmtId="0" fontId="33" fillId="0" borderId="0" xfId="20" applyFont="1" applyAlignment="1" applyProtection="1">
      <alignment vertical="top"/>
      <protection/>
    </xf>
    <xf numFmtId="165" fontId="34" fillId="20" borderId="4" xfId="0" applyNumberFormat="1" applyFont="1" applyFill="1" applyBorder="1" applyAlignment="1" applyProtection="1">
      <alignment/>
      <protection/>
    </xf>
    <xf numFmtId="0" fontId="3" fillId="23" borderId="4" xfId="0" applyFont="1" applyFill="1" applyBorder="1" applyAlignment="1" applyProtection="1">
      <alignment/>
      <protection/>
    </xf>
    <xf numFmtId="0" fontId="3" fillId="16" borderId="4" xfId="0" applyFont="1" applyFill="1" applyBorder="1" applyAlignment="1" applyProtection="1">
      <alignment/>
      <protection/>
    </xf>
    <xf numFmtId="0" fontId="0" fillId="5" borderId="0" xfId="0" applyFill="1" applyBorder="1" applyAlignment="1" applyProtection="1">
      <alignment/>
      <protection/>
    </xf>
    <xf numFmtId="0" fontId="3" fillId="2" borderId="0" xfId="0" applyFont="1" applyFill="1" applyAlignment="1" applyProtection="1">
      <alignment horizontal="right" vertical="top"/>
      <protection/>
    </xf>
    <xf numFmtId="0" fontId="3" fillId="2" borderId="0" xfId="0" applyFont="1" applyFill="1" applyAlignment="1" applyProtection="1">
      <alignment vertical="top"/>
      <protection/>
    </xf>
    <xf numFmtId="49" fontId="8" fillId="2" borderId="0" xfId="0" applyNumberFormat="1" applyFont="1" applyFill="1" applyBorder="1" applyAlignment="1" applyProtection="1">
      <alignment vertical="top"/>
      <protection/>
    </xf>
    <xf numFmtId="0" fontId="3" fillId="2" borderId="0" xfId="0" applyFont="1" applyFill="1" applyAlignment="1" applyProtection="1">
      <alignment horizontal="left" vertical="top"/>
      <protection/>
    </xf>
    <xf numFmtId="0" fontId="3" fillId="0" borderId="0" xfId="0" applyFont="1" applyBorder="1" applyAlignment="1" applyProtection="1">
      <alignment/>
      <protection/>
    </xf>
    <xf numFmtId="49" fontId="3" fillId="2" borderId="0" xfId="0" applyNumberFormat="1" applyFont="1" applyFill="1" applyBorder="1" applyAlignment="1" applyProtection="1">
      <alignment horizontal="right" vertical="center"/>
      <protection/>
    </xf>
    <xf numFmtId="0" fontId="13" fillId="2" borderId="0" xfId="0" applyFont="1" applyFill="1" applyBorder="1" applyAlignment="1" applyProtection="1">
      <alignment vertical="center"/>
      <protection/>
    </xf>
    <xf numFmtId="49" fontId="13" fillId="2" borderId="0" xfId="0" applyNumberFormat="1" applyFont="1" applyFill="1" applyBorder="1" applyAlignment="1" applyProtection="1">
      <alignment vertical="center"/>
      <protection/>
    </xf>
    <xf numFmtId="49" fontId="3" fillId="2" borderId="0" xfId="0" applyNumberFormat="1" applyFont="1" applyFill="1" applyBorder="1" applyAlignment="1" applyProtection="1">
      <alignment horizontal="left"/>
      <protection/>
    </xf>
    <xf numFmtId="49" fontId="13" fillId="2" borderId="0" xfId="0" applyNumberFormat="1" applyFont="1" applyFill="1" applyAlignment="1" applyProtection="1">
      <alignment horizontal="right" vertical="top"/>
      <protection/>
    </xf>
    <xf numFmtId="0" fontId="13" fillId="2" borderId="0" xfId="0" applyFont="1" applyFill="1" applyAlignment="1" applyProtection="1">
      <alignment vertical="top"/>
      <protection/>
    </xf>
    <xf numFmtId="0" fontId="13" fillId="2" borderId="0" xfId="0" applyFont="1" applyFill="1" applyAlignment="1" applyProtection="1">
      <alignment vertical="center"/>
      <protection/>
    </xf>
    <xf numFmtId="0" fontId="3" fillId="2" borderId="0" xfId="0" applyFont="1" applyFill="1" applyAlignment="1" applyProtection="1">
      <alignment vertical="center"/>
      <protection hidden="1"/>
    </xf>
    <xf numFmtId="49" fontId="35" fillId="2" borderId="0" xfId="0" applyNumberFormat="1" applyFont="1" applyFill="1" applyAlignment="1" applyProtection="1">
      <alignment vertical="center"/>
      <protection/>
    </xf>
    <xf numFmtId="49" fontId="3" fillId="0" borderId="0" xfId="0" applyNumberFormat="1" applyFont="1" applyBorder="1" applyAlignment="1" applyProtection="1">
      <alignment horizontal="left"/>
      <protection/>
    </xf>
    <xf numFmtId="0" fontId="0" fillId="5" borderId="20" xfId="0" applyFill="1" applyBorder="1" applyAlignment="1" applyProtection="1">
      <alignment/>
      <protection/>
    </xf>
    <xf numFmtId="0" fontId="3" fillId="2" borderId="0" xfId="0" applyFont="1" applyFill="1" applyBorder="1" applyAlignment="1" applyProtection="1">
      <alignment vertical="center"/>
      <protection hidden="1"/>
    </xf>
    <xf numFmtId="49" fontId="3" fillId="2" borderId="0" xfId="0" applyNumberFormat="1" applyFont="1" applyFill="1" applyAlignment="1" applyProtection="1">
      <alignment horizontal="right" vertical="center" wrapText="1"/>
      <protection/>
    </xf>
    <xf numFmtId="0" fontId="13" fillId="0" borderId="0" xfId="0" applyFont="1" applyAlignment="1" applyProtection="1">
      <alignment horizontal="right" vertical="top"/>
      <protection/>
    </xf>
    <xf numFmtId="49" fontId="3" fillId="2" borderId="0" xfId="0" applyNumberFormat="1" applyFont="1" applyFill="1" applyBorder="1" applyAlignment="1" applyProtection="1">
      <alignment horizontal="right" vertical="top" wrapText="1"/>
      <protection/>
    </xf>
    <xf numFmtId="0" fontId="3" fillId="2" borderId="0" xfId="0" applyFont="1" applyFill="1" applyAlignment="1" applyProtection="1">
      <alignment horizontal="left" vertical="center" wrapText="1"/>
      <protection/>
    </xf>
    <xf numFmtId="165" fontId="3" fillId="2" borderId="11" xfId="0" applyNumberFormat="1" applyFont="1" applyFill="1" applyBorder="1" applyAlignment="1" applyProtection="1">
      <alignment/>
      <protection/>
    </xf>
    <xf numFmtId="49" fontId="3" fillId="2" borderId="0" xfId="0" applyNumberFormat="1" applyFont="1" applyFill="1" applyBorder="1" applyAlignment="1" applyProtection="1">
      <alignment horizontal="left" vertical="center" wrapText="1"/>
      <protection/>
    </xf>
    <xf numFmtId="0" fontId="13" fillId="2" borderId="0" xfId="0" applyFont="1" applyFill="1" applyBorder="1" applyAlignment="1" applyProtection="1">
      <alignment horizontal="left" vertical="center" wrapText="1"/>
      <protection/>
    </xf>
    <xf numFmtId="0" fontId="0" fillId="2" borderId="0" xfId="0" applyFont="1" applyFill="1" applyBorder="1" applyAlignment="1" applyProtection="1">
      <alignment vertical="center" wrapText="1"/>
      <protection/>
    </xf>
    <xf numFmtId="0" fontId="3" fillId="2" borderId="0" xfId="0" applyFont="1" applyFill="1" applyBorder="1" applyAlignment="1" applyProtection="1">
      <alignment horizontal="left" vertical="center" wrapText="1"/>
      <protection/>
    </xf>
    <xf numFmtId="0" fontId="13" fillId="2" borderId="0" xfId="0" applyFont="1" applyFill="1" applyBorder="1" applyAlignment="1" applyProtection="1">
      <alignment horizontal="center" vertical="center" wrapText="1"/>
      <protection/>
    </xf>
    <xf numFmtId="49" fontId="3" fillId="2" borderId="0" xfId="0" applyNumberFormat="1" applyFont="1" applyFill="1" applyBorder="1" applyAlignment="1" applyProtection="1">
      <alignment horizontal="right" vertical="center" wrapText="1"/>
      <protection/>
    </xf>
    <xf numFmtId="0" fontId="0" fillId="2" borderId="0" xfId="0" applyFill="1" applyBorder="1" applyAlignment="1" applyProtection="1">
      <alignment vertical="center" wrapText="1"/>
      <protection/>
    </xf>
    <xf numFmtId="0" fontId="3" fillId="2" borderId="0" xfId="0" applyFont="1" applyFill="1" applyBorder="1" applyAlignment="1" applyProtection="1">
      <alignment horizontal="left" vertical="top"/>
      <protection/>
    </xf>
    <xf numFmtId="0" fontId="3" fillId="2" borderId="0" xfId="0" applyFont="1" applyFill="1" applyBorder="1" applyAlignment="1" applyProtection="1">
      <alignment horizontal="left" vertical="center"/>
      <protection/>
    </xf>
    <xf numFmtId="0" fontId="13" fillId="0" borderId="9"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3" fillId="0" borderId="0" xfId="0" applyFont="1" applyBorder="1" applyAlignment="1" applyProtection="1">
      <alignment horizontal="left" vertical="center" wrapText="1"/>
      <protection/>
    </xf>
    <xf numFmtId="0" fontId="0" fillId="0" borderId="0" xfId="0" applyBorder="1" applyAlignment="1" applyProtection="1">
      <alignment horizontal="left" wrapText="1"/>
      <protection/>
    </xf>
    <xf numFmtId="0" fontId="0" fillId="0" borderId="75" xfId="0" applyBorder="1" applyAlignment="1" applyProtection="1">
      <alignment/>
      <protection locked="0"/>
    </xf>
    <xf numFmtId="0" fontId="0" fillId="0" borderId="73" xfId="0" applyBorder="1" applyAlignment="1" applyProtection="1">
      <alignment/>
      <protection locked="0"/>
    </xf>
    <xf numFmtId="0" fontId="0" fillId="0" borderId="0" xfId="0" applyAlignment="1">
      <alignment horizontal="left" wrapText="1"/>
    </xf>
    <xf numFmtId="0" fontId="0" fillId="0" borderId="0" xfId="0" applyBorder="1" applyAlignment="1">
      <alignment horizontal="left" wrapText="1"/>
    </xf>
    <xf numFmtId="0" fontId="0" fillId="0" borderId="9" xfId="0" applyBorder="1" applyAlignment="1" applyProtection="1">
      <alignment/>
      <protection locked="0"/>
    </xf>
    <xf numFmtId="0" fontId="0" fillId="0" borderId="9" xfId="0" applyBorder="1" applyAlignment="1">
      <alignment horizontal="left" wrapText="1"/>
    </xf>
    <xf numFmtId="0" fontId="0" fillId="0" borderId="55" xfId="0" applyBorder="1" applyAlignment="1" applyProtection="1">
      <alignment/>
      <protection locked="0"/>
    </xf>
    <xf numFmtId="0" fontId="0" fillId="0" borderId="46" xfId="0" applyBorder="1" applyAlignment="1" applyProtection="1">
      <alignment/>
      <protection locked="0"/>
    </xf>
    <xf numFmtId="0" fontId="0" fillId="0" borderId="74" xfId="0" applyBorder="1" applyAlignment="1" applyProtection="1">
      <alignment/>
      <protection locked="0"/>
    </xf>
    <xf numFmtId="0" fontId="0" fillId="0" borderId="76" xfId="0" applyBorder="1" applyAlignment="1">
      <alignment/>
    </xf>
    <xf numFmtId="0" fontId="0" fillId="0" borderId="77" xfId="0" applyBorder="1" applyAlignment="1">
      <alignment/>
    </xf>
    <xf numFmtId="0" fontId="8" fillId="0" borderId="78" xfId="0" applyFont="1" applyBorder="1" applyAlignment="1">
      <alignment/>
    </xf>
    <xf numFmtId="0" fontId="0" fillId="0" borderId="21" xfId="0" applyFill="1" applyBorder="1" applyAlignment="1">
      <alignment/>
    </xf>
    <xf numFmtId="0" fontId="8" fillId="0" borderId="78" xfId="0" applyFont="1" applyBorder="1" applyAlignment="1">
      <alignment wrapText="1"/>
    </xf>
    <xf numFmtId="0" fontId="0" fillId="0" borderId="79" xfId="0" applyBorder="1" applyAlignment="1">
      <alignment/>
    </xf>
    <xf numFmtId="0" fontId="0" fillId="0" borderId="80" xfId="0" applyBorder="1" applyAlignment="1">
      <alignment/>
    </xf>
    <xf numFmtId="0" fontId="0" fillId="0" borderId="75" xfId="0" applyBorder="1" applyAlignment="1" applyProtection="1">
      <alignment vertical="top" wrapText="1"/>
      <protection locked="0"/>
    </xf>
    <xf numFmtId="0" fontId="0" fillId="0" borderId="62" xfId="0" applyBorder="1" applyAlignment="1" applyProtection="1">
      <alignment vertical="top" wrapText="1"/>
      <protection locked="0"/>
    </xf>
    <xf numFmtId="0" fontId="13" fillId="0" borderId="55" xfId="0" applyFont="1" applyBorder="1" applyAlignment="1" applyProtection="1">
      <alignment horizontal="left"/>
      <protection/>
    </xf>
    <xf numFmtId="0" fontId="13" fillId="0" borderId="46" xfId="0" applyFont="1" applyBorder="1" applyAlignment="1" applyProtection="1">
      <alignment horizontal="left"/>
      <protection/>
    </xf>
    <xf numFmtId="0" fontId="13" fillId="0" borderId="74" xfId="0" applyFont="1" applyBorder="1" applyAlignment="1" applyProtection="1">
      <alignment horizontal="left"/>
      <protection/>
    </xf>
    <xf numFmtId="0" fontId="13" fillId="0" borderId="75" xfId="0" applyFont="1" applyBorder="1" applyAlignment="1" applyProtection="1">
      <alignment horizontal="left" vertical="center" wrapText="1"/>
      <protection/>
    </xf>
    <xf numFmtId="0" fontId="13" fillId="0" borderId="62" xfId="0" applyFont="1" applyBorder="1" applyAlignment="1" applyProtection="1">
      <alignment horizontal="left" vertical="center" wrapText="1"/>
      <protection/>
    </xf>
    <xf numFmtId="0" fontId="13" fillId="0" borderId="73" xfId="0" applyFont="1" applyBorder="1" applyAlignment="1" applyProtection="1">
      <alignment horizontal="left" vertical="center" wrapText="1"/>
      <protection/>
    </xf>
    <xf numFmtId="0" fontId="0" fillId="0" borderId="9" xfId="0" applyBorder="1" applyAlignment="1" applyProtection="1">
      <alignment horizontal="left"/>
      <protection locked="0"/>
    </xf>
    <xf numFmtId="0" fontId="0" fillId="0" borderId="0" xfId="0" applyBorder="1" applyAlignment="1" applyProtection="1">
      <alignment horizontal="left"/>
      <protection locked="0"/>
    </xf>
    <xf numFmtId="0" fontId="0" fillId="0" borderId="41" xfId="0" applyBorder="1" applyAlignment="1" applyProtection="1">
      <alignment horizontal="left"/>
      <protection locked="0"/>
    </xf>
    <xf numFmtId="0" fontId="13" fillId="0" borderId="55" xfId="0" applyFont="1" applyBorder="1" applyAlignment="1" applyProtection="1">
      <alignment horizontal="left" vertical="center" wrapText="1"/>
      <protection/>
    </xf>
    <xf numFmtId="0" fontId="13" fillId="0" borderId="46" xfId="0" applyFont="1" applyBorder="1" applyAlignment="1" applyProtection="1">
      <alignment horizontal="left" vertical="center" wrapText="1"/>
      <protection/>
    </xf>
    <xf numFmtId="0" fontId="13" fillId="0" borderId="74" xfId="0" applyFont="1" applyBorder="1" applyAlignment="1" applyProtection="1">
      <alignment horizontal="left" vertical="center" wrapText="1"/>
      <protection/>
    </xf>
    <xf numFmtId="0" fontId="13" fillId="0" borderId="75" xfId="0" applyFont="1" applyBorder="1" applyAlignment="1" applyProtection="1">
      <alignment horizontal="left"/>
      <protection/>
    </xf>
    <xf numFmtId="0" fontId="13" fillId="0" borderId="62" xfId="0" applyFont="1" applyBorder="1" applyAlignment="1" applyProtection="1">
      <alignment horizontal="left"/>
      <protection/>
    </xf>
    <xf numFmtId="0" fontId="13" fillId="0" borderId="73" xfId="0" applyFont="1" applyBorder="1" applyAlignment="1" applyProtection="1">
      <alignment horizontal="left"/>
      <protection/>
    </xf>
    <xf numFmtId="0" fontId="3" fillId="0" borderId="0" xfId="0" applyFont="1" applyAlignment="1" applyProtection="1">
      <alignment horizontal="left" vertical="top" wrapText="1"/>
      <protection/>
    </xf>
    <xf numFmtId="0" fontId="3" fillId="0" borderId="37"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8" fillId="0" borderId="7" xfId="0" applyFont="1" applyBorder="1" applyAlignment="1" applyProtection="1">
      <alignment horizontal="left" vertical="center"/>
      <protection/>
    </xf>
    <xf numFmtId="0" fontId="8" fillId="0" borderId="5" xfId="0" applyFont="1" applyBorder="1" applyAlignment="1" applyProtection="1">
      <alignment horizontal="left" vertical="center"/>
      <protection/>
    </xf>
    <xf numFmtId="0" fontId="8" fillId="0" borderId="6" xfId="0" applyFont="1" applyBorder="1" applyAlignment="1" applyProtection="1">
      <alignment horizontal="left" vertical="center"/>
      <protection/>
    </xf>
    <xf numFmtId="0" fontId="7" fillId="0" borderId="4" xfId="0" applyFont="1" applyBorder="1" applyAlignment="1" applyProtection="1">
      <alignment horizontal="left" vertical="center"/>
      <protection/>
    </xf>
    <xf numFmtId="0" fontId="8" fillId="3" borderId="4" xfId="0" applyFont="1" applyFill="1" applyBorder="1" applyAlignment="1" applyProtection="1">
      <alignment horizontal="left" vertical="center"/>
      <protection/>
    </xf>
    <xf numFmtId="0" fontId="8" fillId="0" borderId="4" xfId="0" applyFont="1" applyBorder="1" applyAlignment="1" applyProtection="1">
      <alignment horizontal="left" vertical="center"/>
      <protection/>
    </xf>
    <xf numFmtId="0" fontId="7" fillId="0" borderId="4" xfId="0" applyFont="1" applyBorder="1" applyAlignment="1" applyProtection="1">
      <alignment horizontal="left"/>
      <protection/>
    </xf>
    <xf numFmtId="0" fontId="4" fillId="0" borderId="2" xfId="0" applyFont="1" applyBorder="1" applyAlignment="1" applyProtection="1">
      <alignment horizontal="left"/>
      <protection/>
    </xf>
    <xf numFmtId="0" fontId="4" fillId="0" borderId="1" xfId="0" applyFont="1" applyBorder="1" applyAlignment="1" applyProtection="1">
      <alignment horizontal="left"/>
      <protection/>
    </xf>
    <xf numFmtId="0" fontId="8" fillId="0" borderId="4" xfId="0" applyFont="1" applyBorder="1" applyAlignment="1" applyProtection="1">
      <alignment horizontal="center" vertical="center"/>
      <protection/>
    </xf>
    <xf numFmtId="0" fontId="8" fillId="3" borderId="4" xfId="0" applyFont="1" applyFill="1" applyBorder="1" applyAlignment="1" applyProtection="1">
      <alignment horizontal="left"/>
      <protection/>
    </xf>
    <xf numFmtId="0" fontId="30" fillId="24" borderId="0" xfId="0" applyFont="1" applyFill="1" applyAlignment="1" applyProtection="1">
      <alignment horizontal="center" vertical="center"/>
      <protection/>
    </xf>
    <xf numFmtId="0" fontId="4" fillId="0" borderId="1" xfId="0" applyFont="1" applyBorder="1" applyAlignment="1" applyProtection="1">
      <alignment horizontal="right"/>
      <protection/>
    </xf>
    <xf numFmtId="0" fontId="4" fillId="0" borderId="81" xfId="0" applyFont="1" applyBorder="1" applyAlignment="1" applyProtection="1">
      <alignment horizontal="right"/>
      <protection/>
    </xf>
    <xf numFmtId="0" fontId="3" fillId="2" borderId="0" xfId="0" applyFont="1" applyFill="1" applyBorder="1" applyAlignment="1" applyProtection="1">
      <alignment horizontal="left"/>
      <protection/>
    </xf>
    <xf numFmtId="0" fontId="13" fillId="2" borderId="0" xfId="0" applyFont="1" applyFill="1" applyAlignment="1" applyProtection="1">
      <alignment horizontal="left"/>
      <protection/>
    </xf>
    <xf numFmtId="0" fontId="8" fillId="0" borderId="2" xfId="0" applyFont="1" applyBorder="1" applyAlignment="1" applyProtection="1">
      <alignment horizontal="center"/>
      <protection locked="0"/>
    </xf>
    <xf numFmtId="0" fontId="8" fillId="0" borderId="81" xfId="0" applyFont="1" applyBorder="1" applyAlignment="1" applyProtection="1">
      <alignment horizontal="center"/>
      <protection locked="0"/>
    </xf>
    <xf numFmtId="0" fontId="7" fillId="0" borderId="3" xfId="0" applyFont="1" applyBorder="1" applyAlignment="1" applyProtection="1">
      <alignment horizontal="left" vertical="center"/>
      <protection/>
    </xf>
    <xf numFmtId="0" fontId="3" fillId="0" borderId="0" xfId="0" applyFont="1" applyAlignment="1" applyProtection="1">
      <alignment vertical="top"/>
      <protection/>
    </xf>
    <xf numFmtId="0" fontId="13" fillId="0" borderId="0" xfId="0" applyFont="1" applyAlignment="1">
      <alignment vertical="top"/>
    </xf>
    <xf numFmtId="0" fontId="13" fillId="2" borderId="0" xfId="0" applyFont="1" applyFill="1" applyAlignment="1" applyProtection="1">
      <alignment horizontal="left" vertical="center" wrapText="1"/>
      <protection/>
    </xf>
    <xf numFmtId="0" fontId="7" fillId="0" borderId="1" xfId="0" applyFont="1" applyBorder="1" applyAlignment="1" applyProtection="1">
      <alignment horizontal="left" vertical="center" wrapText="1"/>
      <protection/>
    </xf>
    <xf numFmtId="0" fontId="7" fillId="0" borderId="81" xfId="0" applyFont="1" applyBorder="1" applyAlignment="1" applyProtection="1">
      <alignment horizontal="left" vertical="center" wrapText="1"/>
      <protection/>
    </xf>
    <xf numFmtId="49" fontId="8" fillId="0" borderId="3" xfId="0" applyNumberFormat="1" applyFont="1" applyBorder="1" applyAlignment="1" applyProtection="1">
      <alignment horizontal="left"/>
      <protection locked="0"/>
    </xf>
    <xf numFmtId="0" fontId="9" fillId="0" borderId="3" xfId="2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7" fillId="0" borderId="3" xfId="0" applyFont="1" applyBorder="1" applyAlignment="1" applyProtection="1">
      <alignment horizontal="left"/>
      <protection/>
    </xf>
    <xf numFmtId="0" fontId="8" fillId="0" borderId="2" xfId="0" applyFont="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3" xfId="0" applyFont="1" applyBorder="1" applyAlignment="1" applyProtection="1">
      <alignment horizontal="left"/>
      <protection locked="0"/>
    </xf>
    <xf numFmtId="0" fontId="8" fillId="0" borderId="2" xfId="0" applyFont="1" applyBorder="1" applyAlignment="1" applyProtection="1">
      <alignment horizontal="left" vertical="center" wrapText="1"/>
      <protection/>
    </xf>
    <xf numFmtId="0" fontId="0" fillId="0" borderId="1" xfId="0" applyBorder="1" applyAlignment="1">
      <alignment horizontal="left" vertical="center" wrapText="1"/>
    </xf>
    <xf numFmtId="0" fontId="0" fillId="0" borderId="81" xfId="0" applyBorder="1" applyAlignment="1">
      <alignment horizontal="left" vertical="center" wrapText="1"/>
    </xf>
    <xf numFmtId="0" fontId="0" fillId="0" borderId="0" xfId="0" applyBorder="1" applyAlignment="1">
      <alignment horizontal="center" wrapText="1"/>
    </xf>
    <xf numFmtId="0" fontId="16" fillId="0" borderId="46" xfId="0" applyFont="1" applyFill="1" applyBorder="1" applyAlignment="1" applyProtection="1">
      <alignment horizontal="left" vertical="center"/>
      <protection/>
    </xf>
    <xf numFmtId="0" fontId="3" fillId="0" borderId="0" xfId="0" applyFont="1" applyAlignment="1" applyProtection="1">
      <alignment vertical="top" wrapText="1"/>
      <protection/>
    </xf>
    <xf numFmtId="0" fontId="0" fillId="0" borderId="7" xfId="0" applyBorder="1" applyAlignment="1" applyProtection="1">
      <alignment horizontal="left"/>
      <protection/>
    </xf>
    <xf numFmtId="0" fontId="0" fillId="0" borderId="5" xfId="0" applyBorder="1" applyAlignment="1" applyProtection="1">
      <alignment horizontal="left"/>
      <protection/>
    </xf>
    <xf numFmtId="49" fontId="8" fillId="0" borderId="2"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81" xfId="0" applyBorder="1" applyAlignment="1" applyProtection="1">
      <alignment horizontal="left" wrapText="1"/>
      <protection locked="0"/>
    </xf>
    <xf numFmtId="0" fontId="7" fillId="0" borderId="2" xfId="0" applyFont="1" applyBorder="1" applyAlignment="1" applyProtection="1">
      <alignment horizontal="left" vertical="center" wrapText="1"/>
      <protection/>
    </xf>
    <xf numFmtId="0" fontId="3" fillId="0" borderId="0" xfId="0" applyFont="1" applyBorder="1" applyAlignment="1">
      <alignment horizontal="center" vertical="center" wrapText="1"/>
    </xf>
    <xf numFmtId="49" fontId="3" fillId="0" borderId="0"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0" fillId="0" borderId="0" xfId="0" applyBorder="1" applyAlignment="1">
      <alignment wrapText="1"/>
    </xf>
    <xf numFmtId="0" fontId="0" fillId="0" borderId="0" xfId="0" applyBorder="1" applyAlignment="1">
      <alignment vertical="center" wrapText="1"/>
    </xf>
    <xf numFmtId="0" fontId="0" fillId="0" borderId="9"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74" xfId="0" applyBorder="1" applyAlignment="1" applyProtection="1">
      <alignment vertical="top" wrapText="1"/>
      <protection locked="0"/>
    </xf>
    <xf numFmtId="0" fontId="13" fillId="2" borderId="0" xfId="0" applyFont="1" applyFill="1" applyAlignment="1" applyProtection="1">
      <alignment horizontal="left" vertical="top" wrapText="1"/>
      <protection/>
    </xf>
    <xf numFmtId="0" fontId="0" fillId="0" borderId="0" xfId="0" applyAlignment="1" applyProtection="1">
      <alignment vertical="top" wrapText="1"/>
      <protection/>
    </xf>
    <xf numFmtId="0" fontId="13" fillId="0" borderId="0" xfId="0" applyFont="1" applyAlignment="1" applyProtection="1">
      <alignment horizontal="left"/>
      <protection/>
    </xf>
    <xf numFmtId="0" fontId="13" fillId="2" borderId="0" xfId="0" applyFont="1" applyFill="1" applyBorder="1" applyAlignment="1" applyProtection="1">
      <alignment horizontal="left"/>
      <protection/>
    </xf>
    <xf numFmtId="0" fontId="3" fillId="2"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0" fillId="0" borderId="5" xfId="0" applyBorder="1" applyAlignment="1" applyProtection="1">
      <alignment horizontal="right"/>
      <protection/>
    </xf>
    <xf numFmtId="0" fontId="0" fillId="0" borderId="6" xfId="0" applyBorder="1" applyAlignment="1" applyProtection="1">
      <alignment horizontal="right"/>
      <protection/>
    </xf>
    <xf numFmtId="0" fontId="3" fillId="0" borderId="0" xfId="0" applyFont="1" applyAlignment="1">
      <alignment vertical="top"/>
    </xf>
    <xf numFmtId="0" fontId="3" fillId="0" borderId="0" xfId="0" applyFont="1" applyAlignment="1" applyProtection="1">
      <alignment horizontal="left"/>
      <protection/>
    </xf>
    <xf numFmtId="0" fontId="3" fillId="2" borderId="0" xfId="0" applyFont="1" applyFill="1" applyBorder="1" applyAlignment="1" applyProtection="1">
      <alignment horizontal="center" wrapText="1"/>
      <protection/>
    </xf>
    <xf numFmtId="0" fontId="0" fillId="2" borderId="0" xfId="0" applyFont="1" applyFill="1" applyBorder="1" applyAlignment="1" applyProtection="1">
      <alignment wrapText="1"/>
      <protection/>
    </xf>
    <xf numFmtId="0" fontId="3" fillId="2" borderId="0" xfId="0" applyFont="1" applyFill="1" applyBorder="1" applyAlignment="1" applyProtection="1">
      <alignment horizontal="center" vertical="center" wrapText="1"/>
      <protection/>
    </xf>
    <xf numFmtId="0" fontId="0" fillId="2" borderId="0" xfId="0" applyFill="1" applyBorder="1" applyAlignment="1" applyProtection="1">
      <alignment horizontal="center" vertical="center" wrapText="1"/>
      <protection/>
    </xf>
    <xf numFmtId="0" fontId="8" fillId="2" borderId="0" xfId="0" applyFont="1" applyFill="1" applyBorder="1" applyAlignment="1" applyProtection="1">
      <alignment horizontal="center" vertical="center"/>
      <protection/>
    </xf>
    <xf numFmtId="0" fontId="0" fillId="0" borderId="0" xfId="0" applyBorder="1" applyAlignment="1">
      <alignment horizontal="center" vertical="center" wrapText="1"/>
    </xf>
    <xf numFmtId="0" fontId="3" fillId="2" borderId="20" xfId="20" applyFont="1" applyFill="1" applyBorder="1" applyAlignment="1" applyProtection="1">
      <alignment horizontal="center" vertical="center" wrapText="1"/>
      <protection/>
    </xf>
    <xf numFmtId="0" fontId="0" fillId="2" borderId="21" xfId="0" applyFont="1" applyFill="1" applyBorder="1" applyAlignment="1" applyProtection="1">
      <alignment horizontal="center" vertical="center" wrapText="1"/>
      <protection/>
    </xf>
    <xf numFmtId="0" fontId="3" fillId="2" borderId="36" xfId="0" applyFont="1" applyFill="1" applyBorder="1" applyAlignment="1" applyProtection="1">
      <alignment horizontal="center" vertical="center" wrapText="1"/>
      <protection/>
    </xf>
    <xf numFmtId="0" fontId="3" fillId="2" borderId="11" xfId="0" applyFont="1" applyFill="1" applyBorder="1" applyAlignment="1" applyProtection="1">
      <alignment horizontal="center" vertical="center" wrapText="1"/>
      <protection/>
    </xf>
    <xf numFmtId="0" fontId="3" fillId="2" borderId="37" xfId="0" applyFont="1" applyFill="1" applyBorder="1" applyAlignment="1" applyProtection="1">
      <alignment horizontal="center" vertical="center" wrapText="1"/>
      <protection/>
    </xf>
    <xf numFmtId="0" fontId="3" fillId="2" borderId="10" xfId="0" applyFont="1" applyFill="1" applyBorder="1" applyAlignment="1" applyProtection="1">
      <alignment horizontal="center" vertical="center" wrapText="1"/>
      <protection/>
    </xf>
    <xf numFmtId="0" fontId="3" fillId="2" borderId="15" xfId="0" applyFont="1" applyFill="1" applyBorder="1" applyAlignment="1" applyProtection="1">
      <alignment horizontal="center" vertical="center" wrapText="1"/>
      <protection/>
    </xf>
    <xf numFmtId="0" fontId="3" fillId="2" borderId="2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3" fillId="2" borderId="0" xfId="0" applyFont="1" applyFill="1" applyBorder="1" applyAlignment="1" applyProtection="1">
      <alignment horizontal="center" vertical="center"/>
      <protection/>
    </xf>
    <xf numFmtId="0" fontId="3" fillId="2" borderId="20" xfId="0" applyFont="1" applyFill="1" applyBorder="1" applyAlignment="1" applyProtection="1">
      <alignment horizontal="center" vertical="center" wrapText="1"/>
      <protection/>
    </xf>
    <xf numFmtId="0" fontId="3" fillId="2" borderId="7" xfId="0" applyFont="1" applyFill="1" applyBorder="1" applyAlignment="1" applyProtection="1">
      <alignment horizontal="center"/>
      <protection/>
    </xf>
    <xf numFmtId="0" fontId="3" fillId="2" borderId="5" xfId="0" applyFont="1" applyFill="1" applyBorder="1" applyAlignment="1" applyProtection="1">
      <alignment horizontal="center"/>
      <protection/>
    </xf>
    <xf numFmtId="0" fontId="3" fillId="2" borderId="6" xfId="0" applyFont="1" applyFill="1" applyBorder="1" applyAlignment="1" applyProtection="1">
      <alignment horizontal="center"/>
      <protection/>
    </xf>
    <xf numFmtId="0" fontId="3" fillId="0" borderId="20" xfId="20" applyFont="1" applyFill="1" applyBorder="1" applyAlignment="1" applyProtection="1">
      <alignment horizontal="center" vertical="center" wrapText="1"/>
      <protection/>
    </xf>
    <xf numFmtId="0" fontId="0" fillId="0" borderId="21" xfId="0" applyFont="1" applyFill="1" applyBorder="1" applyAlignment="1" applyProtection="1">
      <alignment horizontal="center" vertical="center" wrapText="1"/>
      <protection/>
    </xf>
    <xf numFmtId="0" fontId="3" fillId="2" borderId="36"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32" fillId="2" borderId="2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8" fillId="0" borderId="0" xfId="0" applyFont="1" applyAlignment="1" applyProtection="1">
      <alignment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0"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10" xfId="0" applyFont="1" applyBorder="1" applyAlignment="1" applyProtection="1">
      <alignment horizontal="center" wrapText="1"/>
      <protection/>
    </xf>
    <xf numFmtId="0" fontId="8" fillId="0" borderId="0" xfId="0" applyFont="1" applyAlignment="1" applyProtection="1">
      <alignment vertical="top" wrapText="1"/>
      <protection/>
    </xf>
    <xf numFmtId="0" fontId="8" fillId="0" borderId="0" xfId="0" applyFont="1" applyAlignment="1" applyProtection="1">
      <alignment/>
      <protection/>
    </xf>
    <xf numFmtId="0" fontId="7" fillId="0" borderId="0" xfId="0" applyFont="1" applyAlignment="1" applyProtection="1">
      <alignment/>
      <protection/>
    </xf>
    <xf numFmtId="49" fontId="0" fillId="0" borderId="9"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41" xfId="0" applyNumberFormat="1" applyBorder="1" applyAlignment="1" applyProtection="1">
      <alignment horizontal="left" vertical="top" wrapText="1"/>
      <protection locked="0"/>
    </xf>
    <xf numFmtId="0" fontId="0" fillId="0" borderId="0" xfId="0" applyAlignment="1" applyProtection="1">
      <alignment wrapText="1"/>
      <protection/>
    </xf>
    <xf numFmtId="0" fontId="8" fillId="2" borderId="0" xfId="0" applyFont="1" applyFill="1" applyBorder="1" applyAlignment="1" applyProtection="1">
      <alignment vertical="center" wrapText="1"/>
      <protection/>
    </xf>
    <xf numFmtId="0" fontId="8" fillId="0" borderId="0" xfId="0" applyFont="1" applyAlignment="1" applyProtection="1">
      <alignment wrapText="1"/>
      <protection/>
    </xf>
    <xf numFmtId="0" fontId="8" fillId="2" borderId="0" xfId="0" applyFont="1" applyFill="1" applyAlignment="1" applyProtection="1">
      <alignment vertical="center" wrapText="1"/>
      <protection/>
    </xf>
    <xf numFmtId="0" fontId="7" fillId="0" borderId="75" xfId="0" applyFont="1" applyBorder="1" applyAlignment="1" applyProtection="1">
      <alignment horizontal="left" wrapText="1"/>
      <protection/>
    </xf>
    <xf numFmtId="0" fontId="0" fillId="0" borderId="62" xfId="0" applyBorder="1" applyAlignment="1">
      <alignment horizontal="left" wrapText="1"/>
    </xf>
    <xf numFmtId="0" fontId="0" fillId="0" borderId="73" xfId="0" applyBorder="1" applyAlignment="1">
      <alignment horizontal="left" wrapText="1"/>
    </xf>
    <xf numFmtId="49" fontId="0" fillId="0" borderId="75" xfId="0" applyNumberFormat="1" applyBorder="1" applyAlignment="1" applyProtection="1">
      <alignment horizontal="left" vertical="top" wrapText="1"/>
      <protection locked="0"/>
    </xf>
    <xf numFmtId="49" fontId="0" fillId="0" borderId="62" xfId="0" applyNumberFormat="1" applyBorder="1" applyAlignment="1" applyProtection="1">
      <alignment horizontal="left" vertical="top" wrapText="1"/>
      <protection locked="0"/>
    </xf>
    <xf numFmtId="49" fontId="0" fillId="0" borderId="73" xfId="0" applyNumberFormat="1" applyBorder="1" applyAlignment="1" applyProtection="1">
      <alignment horizontal="left" vertical="top" wrapText="1"/>
      <protection locked="0"/>
    </xf>
    <xf numFmtId="0" fontId="33" fillId="2" borderId="0" xfId="20" applyFont="1" applyFill="1" applyBorder="1" applyAlignment="1" applyProtection="1">
      <alignment horizontal="center" wrapText="1"/>
      <protection/>
    </xf>
    <xf numFmtId="0" fontId="0" fillId="2" borderId="20" xfId="0" applyFill="1" applyBorder="1" applyAlignment="1" applyProtection="1">
      <alignment horizontal="center" vertical="center" wrapText="1"/>
      <protection/>
    </xf>
    <xf numFmtId="0" fontId="0" fillId="2" borderId="12" xfId="0" applyFill="1" applyBorder="1" applyAlignment="1" applyProtection="1">
      <alignment horizontal="center" vertical="center" wrapText="1"/>
      <protection/>
    </xf>
    <xf numFmtId="0" fontId="3" fillId="0" borderId="21" xfId="20" applyFont="1" applyFill="1" applyBorder="1" applyAlignment="1" applyProtection="1">
      <alignment horizontal="center" vertical="center" wrapText="1"/>
      <protection/>
    </xf>
    <xf numFmtId="0" fontId="3" fillId="0" borderId="12"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3" fillId="0" borderId="0" xfId="0" applyFont="1" applyBorder="1" applyAlignment="1" applyProtection="1">
      <alignment horizontal="center" wrapText="1"/>
      <protection/>
    </xf>
    <xf numFmtId="0" fontId="8" fillId="0" borderId="2" xfId="0" applyFont="1" applyBorder="1" applyAlignment="1" applyProtection="1">
      <alignment horizontal="left" vertical="center"/>
      <protection/>
    </xf>
    <xf numFmtId="0" fontId="8" fillId="0" borderId="1" xfId="0" applyFont="1" applyBorder="1" applyAlignment="1" applyProtection="1">
      <alignment horizontal="left" vertical="center"/>
      <protection/>
    </xf>
    <xf numFmtId="0" fontId="8" fillId="0" borderId="81" xfId="0" applyFont="1" applyBorder="1" applyAlignment="1" applyProtection="1">
      <alignment horizontal="left" vertical="center"/>
      <protection/>
    </xf>
    <xf numFmtId="0" fontId="3" fillId="2" borderId="21" xfId="20" applyFont="1" applyFill="1" applyBorder="1" applyAlignment="1" applyProtection="1">
      <alignment horizontal="center" vertical="center" wrapText="1"/>
      <protection/>
    </xf>
    <xf numFmtId="0" fontId="8" fillId="0" borderId="2" xfId="0" applyNumberFormat="1" applyFont="1" applyBorder="1" applyAlignment="1" applyProtection="1">
      <alignment horizontal="left"/>
      <protection/>
    </xf>
    <xf numFmtId="0" fontId="8" fillId="0" borderId="81" xfId="0" applyNumberFormat="1" applyFont="1" applyBorder="1" applyAlignment="1" applyProtection="1">
      <alignment horizontal="left"/>
      <protection/>
    </xf>
    <xf numFmtId="0" fontId="7" fillId="0" borderId="2" xfId="0" applyFont="1" applyBorder="1" applyAlignment="1" applyProtection="1">
      <alignment horizontal="left"/>
      <protection/>
    </xf>
    <xf numFmtId="0" fontId="7" fillId="0" borderId="81" xfId="0" applyFont="1" applyBorder="1" applyAlignment="1" applyProtection="1">
      <alignment horizontal="left"/>
      <protection/>
    </xf>
    <xf numFmtId="0" fontId="3" fillId="2" borderId="4" xfId="0" applyFont="1" applyFill="1" applyBorder="1" applyAlignment="1" applyProtection="1">
      <alignment horizontal="center" vertical="center" wrapText="1"/>
      <protection/>
    </xf>
    <xf numFmtId="0" fontId="0" fillId="2" borderId="21" xfId="0"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3" fillId="3" borderId="12" xfId="0" applyFont="1" applyFill="1" applyBorder="1" applyAlignment="1">
      <alignment horizontal="center" vertical="center" wrapText="1"/>
    </xf>
    <xf numFmtId="0" fontId="3" fillId="0" borderId="21" xfId="0" applyFont="1" applyFill="1" applyBorder="1" applyAlignment="1" applyProtection="1">
      <alignment horizontal="center" vertical="center" wrapText="1"/>
      <protection/>
    </xf>
    <xf numFmtId="0" fontId="3" fillId="0" borderId="7" xfId="0" applyFont="1" applyBorder="1" applyAlignment="1" applyProtection="1">
      <alignment horizontal="center"/>
      <protection/>
    </xf>
    <xf numFmtId="0" fontId="3" fillId="0" borderId="5" xfId="0" applyFont="1" applyBorder="1" applyAlignment="1" applyProtection="1">
      <alignment horizontal="center"/>
      <protection/>
    </xf>
    <xf numFmtId="0" fontId="3" fillId="0" borderId="6" xfId="0" applyFont="1" applyBorder="1" applyAlignment="1" applyProtection="1">
      <alignment horizontal="center"/>
      <protection/>
    </xf>
    <xf numFmtId="0" fontId="0" fillId="0" borderId="12" xfId="0" applyFill="1" applyBorder="1" applyAlignment="1" applyProtection="1">
      <alignment horizontal="center" vertical="center" wrapText="1"/>
      <protection/>
    </xf>
    <xf numFmtId="0" fontId="3" fillId="2" borderId="20" xfId="0" applyFont="1" applyFill="1" applyBorder="1" applyAlignment="1" applyProtection="1">
      <alignment horizontal="center" vertical="center"/>
      <protection/>
    </xf>
    <xf numFmtId="0" fontId="3" fillId="2" borderId="12" xfId="0" applyFont="1" applyFill="1" applyBorder="1" applyAlignment="1" applyProtection="1">
      <alignment horizontal="center" vertical="center"/>
      <protection/>
    </xf>
    <xf numFmtId="0" fontId="0" fillId="0" borderId="21" xfId="0" applyFill="1" applyBorder="1" applyAlignment="1" applyProtection="1">
      <alignment horizontal="center" vertical="center" wrapText="1"/>
      <protection/>
    </xf>
    <xf numFmtId="0" fontId="8" fillId="0" borderId="36" xfId="0" applyFont="1" applyBorder="1" applyAlignment="1" applyProtection="1">
      <alignment horizontal="center" vertical="center" wrapText="1"/>
      <protection/>
    </xf>
    <xf numFmtId="0" fontId="8" fillId="0" borderId="37"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8" fillId="0" borderId="38" xfId="0"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8" fillId="0" borderId="0" xfId="0" applyFont="1" applyAlignment="1" applyProtection="1">
      <alignment horizontal="left"/>
      <protection/>
    </xf>
    <xf numFmtId="0" fontId="0" fillId="0" borderId="0" xfId="0" applyBorder="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horizontal="left" wrapText="1"/>
      <protection/>
    </xf>
    <xf numFmtId="0" fontId="7" fillId="0" borderId="2" xfId="0" applyFont="1" applyBorder="1" applyAlignment="1" applyProtection="1">
      <alignment horizontal="left" vertical="center"/>
      <protection/>
    </xf>
    <xf numFmtId="0" fontId="7" fillId="0" borderId="81" xfId="0" applyFont="1" applyBorder="1" applyAlignment="1" applyProtection="1">
      <alignment horizontal="left" vertical="center"/>
      <protection/>
    </xf>
    <xf numFmtId="0" fontId="8" fillId="0" borderId="75" xfId="0" applyNumberFormat="1" applyFont="1" applyBorder="1" applyAlignment="1" applyProtection="1">
      <alignment horizontal="left" vertical="center"/>
      <protection/>
    </xf>
    <xf numFmtId="0" fontId="8" fillId="0" borderId="73" xfId="0" applyNumberFormat="1" applyFont="1" applyBorder="1" applyAlignment="1" applyProtection="1">
      <alignment horizontal="left" vertical="center"/>
      <protection/>
    </xf>
    <xf numFmtId="0" fontId="8" fillId="2" borderId="36" xfId="0" applyFont="1" applyFill="1" applyBorder="1" applyAlignment="1" applyProtection="1">
      <alignment horizontal="center" vertical="center"/>
      <protection/>
    </xf>
    <xf numFmtId="0" fontId="8" fillId="2" borderId="37" xfId="0" applyFont="1" applyFill="1" applyBorder="1" applyAlignment="1" applyProtection="1">
      <alignment horizontal="center" vertical="center"/>
      <protection/>
    </xf>
    <xf numFmtId="0" fontId="8" fillId="2" borderId="10" xfId="0" applyFont="1" applyFill="1" applyBorder="1" applyAlignment="1" applyProtection="1">
      <alignment horizontal="center" vertical="center"/>
      <protection/>
    </xf>
    <xf numFmtId="0" fontId="8" fillId="2" borderId="15" xfId="0" applyFont="1" applyFill="1" applyBorder="1" applyAlignment="1" applyProtection="1">
      <alignment horizontal="center" vertical="center"/>
      <protection/>
    </xf>
    <xf numFmtId="0" fontId="8" fillId="2" borderId="38" xfId="0" applyFont="1" applyFill="1" applyBorder="1" applyAlignment="1" applyProtection="1">
      <alignment horizontal="center" vertical="center"/>
      <protection/>
    </xf>
    <xf numFmtId="0" fontId="8" fillId="2" borderId="39" xfId="0" applyFont="1" applyFill="1" applyBorder="1" applyAlignment="1" applyProtection="1">
      <alignment horizontal="center" vertical="center"/>
      <protection/>
    </xf>
    <xf numFmtId="0" fontId="8" fillId="0" borderId="2" xfId="0" applyFont="1" applyBorder="1" applyAlignment="1" applyProtection="1">
      <alignment horizontal="left" vertical="center"/>
      <protection/>
    </xf>
    <xf numFmtId="0" fontId="8" fillId="0" borderId="81" xfId="0" applyFont="1" applyBorder="1" applyAlignment="1" applyProtection="1">
      <alignment horizontal="left" vertical="center"/>
      <protection/>
    </xf>
    <xf numFmtId="0" fontId="8" fillId="0" borderId="36"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3" fillId="0" borderId="36" xfId="2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0" fontId="3" fillId="0" borderId="3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9" xfId="0" applyFont="1" applyBorder="1" applyAlignment="1">
      <alignment horizontal="center" vertical="center" wrapText="1"/>
    </xf>
    <xf numFmtId="0" fontId="0" fillId="2" borderId="15" xfId="0" applyFill="1" applyBorder="1" applyAlignment="1" applyProtection="1">
      <alignment horizontal="center" vertical="center" wrapText="1"/>
      <protection/>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7" xfId="0" applyFont="1" applyFill="1" applyBorder="1" applyAlignment="1" applyProtection="1">
      <alignment horizontal="center" wrapText="1"/>
      <protection/>
    </xf>
    <xf numFmtId="0" fontId="3" fillId="2" borderId="15" xfId="0" applyFont="1" applyFill="1" applyBorder="1" applyAlignment="1" applyProtection="1">
      <alignment horizontal="center" wrapText="1"/>
      <protection/>
    </xf>
    <xf numFmtId="0" fontId="3" fillId="0" borderId="20"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3" fillId="2" borderId="20" xfId="20" applyFont="1" applyFill="1" applyBorder="1" applyAlignment="1" applyProtection="1">
      <alignment horizontal="center" wrapText="1"/>
      <protection/>
    </xf>
    <xf numFmtId="0" fontId="0" fillId="2" borderId="21" xfId="0" applyFont="1" applyFill="1" applyBorder="1" applyAlignment="1" applyProtection="1">
      <alignment horizontal="center" wrapText="1"/>
      <protection/>
    </xf>
    <xf numFmtId="0" fontId="4" fillId="0" borderId="7" xfId="0" applyFont="1" applyBorder="1" applyAlignment="1" applyProtection="1">
      <alignment horizontal="left"/>
      <protection/>
    </xf>
    <xf numFmtId="0" fontId="4" fillId="0" borderId="5" xfId="0" applyFont="1" applyBorder="1" applyAlignment="1" applyProtection="1">
      <alignment horizontal="left"/>
      <protection/>
    </xf>
    <xf numFmtId="0" fontId="4" fillId="0" borderId="6" xfId="0" applyFont="1" applyBorder="1" applyAlignment="1" applyProtection="1">
      <alignment horizontal="left"/>
      <protection/>
    </xf>
    <xf numFmtId="0" fontId="4" fillId="0" borderId="7" xfId="0" applyFont="1" applyFill="1" applyBorder="1" applyAlignment="1" applyProtection="1">
      <alignment horizontal="right"/>
      <protection/>
    </xf>
    <xf numFmtId="0" fontId="4" fillId="0" borderId="5" xfId="0" applyFont="1" applyFill="1" applyBorder="1" applyAlignment="1" applyProtection="1">
      <alignment horizontal="right"/>
      <protection/>
    </xf>
    <xf numFmtId="0" fontId="4" fillId="0" borderId="6" xfId="0" applyFont="1" applyFill="1" applyBorder="1" applyAlignment="1" applyProtection="1">
      <alignment horizontal="right"/>
      <protection/>
    </xf>
    <xf numFmtId="0" fontId="8" fillId="0" borderId="4" xfId="0" applyFont="1" applyFill="1" applyBorder="1" applyAlignment="1" applyProtection="1">
      <alignment horizontal="left" vertical="center"/>
      <protection/>
    </xf>
    <xf numFmtId="14" fontId="8" fillId="3" borderId="4" xfId="0" applyNumberFormat="1" applyFont="1" applyFill="1" applyBorder="1" applyAlignment="1" applyProtection="1">
      <alignment horizontal="left"/>
      <protection/>
    </xf>
    <xf numFmtId="0" fontId="8" fillId="2" borderId="36" xfId="0" applyFont="1" applyFill="1" applyBorder="1" applyAlignment="1" applyProtection="1">
      <alignment horizontal="center" vertical="center" wrapText="1"/>
      <protection/>
    </xf>
    <xf numFmtId="0" fontId="8" fillId="2" borderId="37" xfId="0" applyFont="1" applyFill="1" applyBorder="1" applyAlignment="1" applyProtection="1">
      <alignment horizontal="center" vertical="center" wrapText="1"/>
      <protection/>
    </xf>
    <xf numFmtId="0" fontId="8" fillId="2" borderId="10" xfId="0" applyFont="1" applyFill="1" applyBorder="1" applyAlignment="1" applyProtection="1">
      <alignment horizontal="center" vertical="center" wrapText="1"/>
      <protection/>
    </xf>
    <xf numFmtId="0" fontId="8" fillId="2" borderId="15" xfId="0" applyFont="1" applyFill="1" applyBorder="1" applyAlignment="1" applyProtection="1">
      <alignment horizontal="center" vertical="center" wrapText="1"/>
      <protection/>
    </xf>
    <xf numFmtId="0" fontId="8" fillId="2" borderId="38" xfId="0" applyFont="1" applyFill="1" applyBorder="1" applyAlignment="1" applyProtection="1">
      <alignment horizontal="center" vertical="center" wrapText="1"/>
      <protection/>
    </xf>
    <xf numFmtId="0" fontId="8" fillId="2" borderId="39"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wrapText="1"/>
      <protection/>
    </xf>
    <xf numFmtId="0" fontId="3" fillId="0" borderId="12"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3" fillId="0" borderId="12" xfId="0" applyFont="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37"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2" borderId="20" xfId="0" applyFont="1" applyFill="1" applyBorder="1" applyAlignment="1" applyProtection="1">
      <alignment horizontal="center" wrapText="1"/>
      <protection/>
    </xf>
    <xf numFmtId="0" fontId="3" fillId="2" borderId="12" xfId="0" applyFont="1" applyFill="1" applyBorder="1" applyAlignment="1" applyProtection="1">
      <alignment horizontal="center" wrapText="1"/>
      <protection/>
    </xf>
    <xf numFmtId="0" fontId="0" fillId="0" borderId="21" xfId="0" applyBorder="1" applyAlignment="1">
      <alignment horizontal="center" vertical="center" wrapText="1"/>
    </xf>
    <xf numFmtId="0" fontId="0" fillId="2" borderId="0" xfId="0" applyFont="1" applyFill="1" applyBorder="1" applyAlignment="1" applyProtection="1">
      <alignment horizontal="center" vertical="center" wrapText="1"/>
      <protection/>
    </xf>
    <xf numFmtId="49" fontId="0" fillId="0" borderId="55"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0" fillId="0" borderId="74" xfId="0" applyNumberFormat="1" applyBorder="1" applyAlignment="1" applyProtection="1">
      <alignment horizontal="left" vertical="top" wrapText="1"/>
      <protection locked="0"/>
    </xf>
    <xf numFmtId="0" fontId="7" fillId="0" borderId="55" xfId="0" applyFont="1" applyBorder="1" applyAlignment="1" applyProtection="1">
      <alignment/>
      <protection/>
    </xf>
    <xf numFmtId="0" fontId="7" fillId="0" borderId="46" xfId="0" applyFont="1" applyBorder="1" applyAlignment="1" applyProtection="1">
      <alignment/>
      <protection/>
    </xf>
    <xf numFmtId="0" fontId="7" fillId="0" borderId="74" xfId="0" applyFont="1" applyBorder="1" applyAlignment="1" applyProtection="1">
      <alignment/>
      <protection/>
    </xf>
    <xf numFmtId="0" fontId="7" fillId="0" borderId="75" xfId="0" applyFont="1" applyBorder="1" applyAlignment="1" applyProtection="1">
      <alignment/>
      <protection/>
    </xf>
    <xf numFmtId="0" fontId="7" fillId="0" borderId="62" xfId="0" applyFont="1" applyBorder="1" applyAlignment="1" applyProtection="1">
      <alignment/>
      <protection/>
    </xf>
    <xf numFmtId="0" fontId="7" fillId="0" borderId="73" xfId="0" applyFont="1" applyBorder="1" applyAlignment="1" applyProtection="1">
      <alignment/>
      <protection/>
    </xf>
    <xf numFmtId="0" fontId="7" fillId="0" borderId="55" xfId="0" applyFont="1" applyBorder="1" applyAlignment="1" applyProtection="1">
      <alignment horizontal="left"/>
      <protection/>
    </xf>
    <xf numFmtId="0" fontId="7" fillId="0" borderId="46" xfId="0" applyFont="1" applyBorder="1" applyAlignment="1" applyProtection="1">
      <alignment horizontal="left"/>
      <protection/>
    </xf>
    <xf numFmtId="0" fontId="7" fillId="0" borderId="74" xfId="0" applyFont="1" applyBorder="1" applyAlignment="1" applyProtection="1">
      <alignment horizontal="left"/>
      <protection/>
    </xf>
    <xf numFmtId="0" fontId="3" fillId="2" borderId="36" xfId="0" applyFont="1" applyFill="1" applyBorder="1" applyAlignment="1" applyProtection="1">
      <alignment horizontal="center" wrapText="1"/>
      <protection/>
    </xf>
    <xf numFmtId="0" fontId="3" fillId="2" borderId="10" xfId="0" applyFont="1" applyFill="1" applyBorder="1" applyAlignment="1" applyProtection="1">
      <alignment horizontal="center" wrapText="1"/>
      <protection/>
    </xf>
    <xf numFmtId="0" fontId="0" fillId="0" borderId="75" xfId="0" applyBorder="1" applyAlignment="1" applyProtection="1">
      <alignment/>
      <protection locked="0"/>
    </xf>
    <xf numFmtId="0" fontId="0" fillId="0" borderId="62" xfId="0" applyBorder="1" applyAlignment="1" applyProtection="1">
      <alignment/>
      <protection locked="0"/>
    </xf>
    <xf numFmtId="0" fontId="0" fillId="0" borderId="73" xfId="0"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0" fontId="0" fillId="0" borderId="41" xfId="0" applyBorder="1" applyAlignment="1" applyProtection="1">
      <alignment/>
      <protection locked="0"/>
    </xf>
    <xf numFmtId="0" fontId="0" fillId="0" borderId="55" xfId="0" applyBorder="1" applyAlignment="1" applyProtection="1">
      <alignment/>
      <protection locked="0"/>
    </xf>
    <xf numFmtId="0" fontId="0" fillId="0" borderId="46" xfId="0" applyBorder="1" applyAlignment="1" applyProtection="1">
      <alignment/>
      <protection locked="0"/>
    </xf>
    <xf numFmtId="0" fontId="0" fillId="0" borderId="74" xfId="0" applyBorder="1" applyAlignment="1" applyProtection="1">
      <alignment/>
      <protection locked="0"/>
    </xf>
    <xf numFmtId="0" fontId="3" fillId="2" borderId="20" xfId="0" applyFont="1" applyFill="1" applyBorder="1" applyAlignment="1">
      <alignment horizontal="center" vertical="center"/>
    </xf>
    <xf numFmtId="0" fontId="3" fillId="2" borderId="12" xfId="0" applyFont="1" applyFill="1" applyBorder="1" applyAlignment="1">
      <alignment horizontal="center" vertical="center"/>
    </xf>
    <xf numFmtId="0" fontId="3" fillId="0" borderId="4"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0" fillId="0" borderId="0" xfId="0" applyAlignment="1">
      <alignment wrapText="1"/>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0" fillId="2" borderId="12" xfId="0" applyFill="1" applyBorder="1" applyAlignment="1">
      <alignment horizontal="center" vertical="center" wrapText="1"/>
    </xf>
    <xf numFmtId="0" fontId="31" fillId="5" borderId="0" xfId="0" applyFont="1" applyFill="1" applyAlignment="1">
      <alignment horizontal="center" vertical="center" textRotation="90" wrapText="1"/>
    </xf>
    <xf numFmtId="0" fontId="31" fillId="5" borderId="34" xfId="0" applyFont="1" applyFill="1" applyBorder="1" applyAlignment="1">
      <alignment horizontal="center" vertical="center" textRotation="90" wrapText="1"/>
    </xf>
    <xf numFmtId="0" fontId="31" fillId="5" borderId="0" xfId="0" applyFont="1" applyFill="1" applyBorder="1" applyAlignment="1">
      <alignment horizontal="center" vertical="center" textRotation="90" wrapText="1"/>
    </xf>
    <xf numFmtId="0" fontId="3" fillId="2" borderId="21" xfId="0" applyFont="1" applyFill="1" applyBorder="1" applyAlignment="1">
      <alignment horizontal="center" wrapText="1"/>
    </xf>
    <xf numFmtId="0" fontId="8" fillId="2" borderId="7" xfId="20" applyFont="1" applyFill="1" applyBorder="1" applyAlignment="1">
      <alignment vertical="center" wrapText="1"/>
    </xf>
    <xf numFmtId="0" fontId="8" fillId="2" borderId="5" xfId="20" applyFont="1" applyFill="1" applyBorder="1" applyAlignment="1">
      <alignment vertical="center" wrapText="1"/>
    </xf>
    <xf numFmtId="0" fontId="0" fillId="2" borderId="37" xfId="0" applyFont="1" applyFill="1" applyBorder="1" applyAlignment="1">
      <alignment wrapText="1"/>
    </xf>
    <xf numFmtId="0" fontId="3" fillId="2" borderId="21" xfId="20" applyFont="1" applyFill="1" applyBorder="1" applyAlignment="1">
      <alignment horizontal="center" wrapText="1"/>
    </xf>
    <xf numFmtId="0" fontId="8" fillId="2" borderId="7" xfId="20" applyFont="1" applyFill="1" applyBorder="1" applyAlignment="1">
      <alignment horizontal="left" vertical="center" wrapText="1"/>
    </xf>
    <xf numFmtId="0" fontId="8" fillId="2" borderId="5" xfId="20" applyFont="1" applyFill="1" applyBorder="1" applyAlignment="1">
      <alignment horizontal="left" vertical="center" wrapText="1"/>
    </xf>
    <xf numFmtId="0" fontId="8" fillId="2" borderId="37" xfId="20" applyFont="1" applyFill="1" applyBorder="1" applyAlignment="1">
      <alignment horizontal="left" vertical="center" wrapText="1"/>
    </xf>
    <xf numFmtId="0" fontId="3" fillId="2" borderId="1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9" xfId="0" applyFont="1" applyFill="1" applyBorder="1" applyAlignment="1">
      <alignment horizontal="center" vertical="center"/>
    </xf>
    <xf numFmtId="0" fontId="8" fillId="2" borderId="7" xfId="0" applyFont="1" applyFill="1" applyBorder="1" applyAlignment="1">
      <alignment horizontal="left" vertical="center"/>
    </xf>
    <xf numFmtId="0" fontId="8" fillId="2" borderId="6" xfId="0" applyFont="1" applyFill="1" applyBorder="1" applyAlignment="1">
      <alignment horizontal="left" vertical="center"/>
    </xf>
    <xf numFmtId="0" fontId="8" fillId="0" borderId="2" xfId="0" applyFont="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2" xfId="0" applyFont="1" applyBorder="1" applyAlignment="1" applyProtection="1">
      <alignment horizontal="left"/>
      <protection/>
    </xf>
    <xf numFmtId="0" fontId="8" fillId="0" borderId="81" xfId="0" applyFont="1" applyBorder="1" applyAlignment="1" applyProtection="1">
      <alignment horizontal="left"/>
      <protection/>
    </xf>
    <xf numFmtId="49" fontId="8" fillId="0" borderId="2" xfId="0" applyNumberFormat="1" applyFont="1" applyBorder="1" applyAlignment="1" applyProtection="1">
      <alignment horizontal="left"/>
      <protection/>
    </xf>
    <xf numFmtId="49" fontId="8" fillId="0" borderId="1" xfId="0" applyNumberFormat="1" applyFont="1" applyBorder="1" applyAlignment="1" applyProtection="1">
      <alignment horizontal="left"/>
      <protection/>
    </xf>
    <xf numFmtId="49" fontId="8" fillId="0" borderId="81" xfId="0" applyNumberFormat="1" applyFont="1" applyBorder="1" applyAlignment="1" applyProtection="1">
      <alignment horizontal="left"/>
      <protection/>
    </xf>
    <xf numFmtId="0" fontId="7" fillId="0" borderId="7" xfId="0" applyFont="1" applyBorder="1" applyAlignment="1">
      <alignment vertical="center"/>
    </xf>
    <xf numFmtId="0" fontId="8" fillId="0" borderId="5" xfId="0" applyFont="1" applyBorder="1" applyAlignment="1">
      <alignment vertical="center"/>
    </xf>
    <xf numFmtId="0" fontId="8" fillId="0" borderId="37" xfId="0" applyFont="1" applyBorder="1" applyAlignment="1">
      <alignment vertical="center"/>
    </xf>
    <xf numFmtId="0" fontId="8" fillId="0" borderId="0" xfId="0" applyFont="1" applyAlignment="1">
      <alignment horizontal="left"/>
    </xf>
    <xf numFmtId="0" fontId="8" fillId="2" borderId="36" xfId="0" applyFont="1" applyFill="1" applyBorder="1" applyAlignment="1">
      <alignment horizontal="center" vertical="center"/>
    </xf>
    <xf numFmtId="0" fontId="8" fillId="2" borderId="3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xf>
    <xf numFmtId="0" fontId="3" fillId="2" borderId="7" xfId="0" applyFont="1" applyFill="1" applyBorder="1" applyAlignment="1">
      <alignment horizontal="right" vertical="center" wrapText="1"/>
    </xf>
    <xf numFmtId="0" fontId="3" fillId="2" borderId="6" xfId="0" applyFont="1" applyFill="1" applyBorder="1" applyAlignment="1">
      <alignment horizontal="right" vertical="center" wrapText="1"/>
    </xf>
    <xf numFmtId="0" fontId="3" fillId="2" borderId="5" xfId="0" applyFont="1" applyFill="1" applyBorder="1" applyAlignment="1">
      <alignment horizontal="right" vertical="center" wrapText="1"/>
    </xf>
    <xf numFmtId="0" fontId="8" fillId="0" borderId="34" xfId="0" applyFont="1" applyBorder="1" applyAlignment="1">
      <alignment horizontal="left"/>
    </xf>
    <xf numFmtId="0" fontId="8" fillId="0" borderId="36" xfId="0" applyFont="1" applyBorder="1" applyAlignment="1">
      <alignment vertical="center"/>
    </xf>
    <xf numFmtId="0" fontId="8" fillId="0" borderId="11" xfId="0" applyFont="1" applyBorder="1" applyAlignment="1">
      <alignment vertical="center"/>
    </xf>
    <xf numFmtId="0" fontId="8" fillId="2" borderId="20" xfId="0" applyFont="1" applyFill="1" applyBorder="1" applyAlignment="1">
      <alignment horizontal="center" wrapText="1"/>
    </xf>
    <xf numFmtId="0" fontId="0" fillId="0" borderId="21" xfId="0" applyBorder="1" applyAlignment="1">
      <alignment horizontal="center" wrapText="1"/>
    </xf>
    <xf numFmtId="0" fontId="0" fillId="0" borderId="12" xfId="0" applyBorder="1" applyAlignment="1">
      <alignment horizontal="center" wrapText="1"/>
    </xf>
    <xf numFmtId="0" fontId="8" fillId="2" borderId="36" xfId="0" applyFont="1" applyFill="1" applyBorder="1" applyAlignment="1">
      <alignment vertical="center" wrapText="1"/>
    </xf>
    <xf numFmtId="0" fontId="8" fillId="2" borderId="11" xfId="0" applyFont="1" applyFill="1" applyBorder="1" applyAlignment="1">
      <alignment vertical="center" wrapText="1"/>
    </xf>
    <xf numFmtId="0" fontId="8" fillId="2" borderId="37" xfId="0" applyFont="1" applyFill="1" applyBorder="1" applyAlignment="1">
      <alignment vertical="center" wrapText="1"/>
    </xf>
    <xf numFmtId="0" fontId="8" fillId="0" borderId="7" xfId="0" applyFont="1" applyBorder="1" applyAlignment="1">
      <alignment vertical="center"/>
    </xf>
    <xf numFmtId="0" fontId="8" fillId="2" borderId="7" xfId="0" applyFont="1" applyFill="1" applyBorder="1" applyAlignment="1">
      <alignment vertical="center"/>
    </xf>
    <xf numFmtId="0" fontId="8" fillId="2" borderId="37" xfId="0" applyFont="1" applyFill="1" applyBorder="1" applyAlignment="1">
      <alignment vertical="center"/>
    </xf>
    <xf numFmtId="0" fontId="0" fillId="2" borderId="36" xfId="0" applyFont="1" applyFill="1" applyBorder="1" applyAlignment="1">
      <alignment vertical="center" wrapText="1"/>
    </xf>
    <xf numFmtId="0" fontId="0" fillId="2" borderId="11" xfId="0" applyFont="1" applyFill="1" applyBorder="1" applyAlignment="1">
      <alignment vertical="center" wrapText="1"/>
    </xf>
    <xf numFmtId="0" fontId="8" fillId="2" borderId="7" xfId="0" applyFont="1" applyFill="1" applyBorder="1" applyAlignment="1">
      <alignment vertical="center" wrapText="1"/>
    </xf>
    <xf numFmtId="0" fontId="8" fillId="2" borderId="5"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8" fillId="0" borderId="37" xfId="0" applyFont="1" applyBorder="1" applyAlignment="1">
      <alignment vertical="center" wrapText="1"/>
    </xf>
    <xf numFmtId="0" fontId="3" fillId="2" borderId="21" xfId="0" applyFont="1" applyFill="1" applyBorder="1" applyAlignment="1">
      <alignment horizontal="center" vertical="center" wrapText="1"/>
    </xf>
    <xf numFmtId="0" fontId="30" fillId="24" borderId="0" xfId="0" applyFont="1" applyFill="1" applyBorder="1" applyAlignment="1">
      <alignment horizontal="center" vertical="center"/>
    </xf>
    <xf numFmtId="0" fontId="9" fillId="0" borderId="2" xfId="20" applyFont="1" applyBorder="1" applyAlignment="1" applyProtection="1">
      <alignment horizontal="left" vertical="center"/>
      <protection/>
    </xf>
    <xf numFmtId="0" fontId="8" fillId="0" borderId="1" xfId="0" applyFont="1" applyBorder="1" applyAlignment="1" applyProtection="1">
      <alignment horizontal="left" vertical="center"/>
      <protection/>
    </xf>
    <xf numFmtId="0" fontId="24" fillId="2" borderId="2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4" fillId="0" borderId="2"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right"/>
    </xf>
    <xf numFmtId="0" fontId="4" fillId="0" borderId="81" xfId="0" applyFont="1" applyBorder="1" applyAlignment="1">
      <alignment horizontal="right"/>
    </xf>
    <xf numFmtId="0" fontId="16" fillId="0" borderId="46" xfId="0" applyFont="1" applyFill="1" applyBorder="1" applyAlignment="1">
      <alignment horizontal="left" vertical="center"/>
    </xf>
    <xf numFmtId="0" fontId="0" fillId="0" borderId="81" xfId="0" applyBorder="1" applyAlignment="1">
      <alignment horizontal="left"/>
    </xf>
    <xf numFmtId="0" fontId="7" fillId="0" borderId="75" xfId="0" applyFont="1" applyBorder="1" applyAlignment="1" applyProtection="1">
      <alignment horizontal="left" vertical="center" wrapText="1"/>
      <protection/>
    </xf>
    <xf numFmtId="0" fontId="0" fillId="0" borderId="73" xfId="0" applyBorder="1" applyAlignment="1">
      <alignment horizontal="left" vertical="center" wrapText="1"/>
    </xf>
    <xf numFmtId="0" fontId="0" fillId="0" borderId="1" xfId="0" applyBorder="1" applyAlignment="1">
      <alignment/>
    </xf>
    <xf numFmtId="0" fontId="0" fillId="0" borderId="81" xfId="0" applyBorder="1" applyAlignment="1">
      <alignment/>
    </xf>
    <xf numFmtId="0" fontId="3" fillId="0" borderId="20" xfId="0" applyFont="1" applyBorder="1" applyAlignment="1">
      <alignment horizontal="center" wrapText="1"/>
    </xf>
    <xf numFmtId="0" fontId="3" fillId="0" borderId="21" xfId="0" applyFont="1" applyBorder="1" applyAlignment="1">
      <alignment horizontal="center" wrapText="1"/>
    </xf>
    <xf numFmtId="0" fontId="3" fillId="2" borderId="20" xfId="0" applyFont="1" applyFill="1" applyBorder="1" applyAlignment="1">
      <alignment horizontal="center" wrapText="1"/>
    </xf>
    <xf numFmtId="0" fontId="8" fillId="2" borderId="21" xfId="0" applyFont="1" applyFill="1" applyBorder="1" applyAlignment="1">
      <alignment horizontal="center" wrapText="1"/>
    </xf>
    <xf numFmtId="0" fontId="8" fillId="2" borderId="12" xfId="0" applyFont="1" applyFill="1" applyBorder="1" applyAlignment="1">
      <alignment horizont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4" fillId="2" borderId="20" xfId="0" applyFont="1" applyFill="1" applyBorder="1" applyAlignment="1">
      <alignment wrapText="1"/>
    </xf>
    <xf numFmtId="0" fontId="4" fillId="2" borderId="21" xfId="0" applyFont="1" applyFill="1" applyBorder="1" applyAlignment="1">
      <alignment wrapText="1"/>
    </xf>
    <xf numFmtId="0" fontId="4" fillId="2" borderId="12" xfId="0" applyFont="1" applyFill="1" applyBorder="1" applyAlignment="1">
      <alignment wrapText="1"/>
    </xf>
    <xf numFmtId="0" fontId="8" fillId="0" borderId="0" xfId="0" applyFont="1" applyAlignment="1">
      <alignment horizontal="left" vertical="center"/>
    </xf>
    <xf numFmtId="0" fontId="8" fillId="0" borderId="72" xfId="0" applyFont="1" applyBorder="1" applyAlignment="1">
      <alignment horizontal="left" vertical="center"/>
    </xf>
    <xf numFmtId="2" fontId="3" fillId="2" borderId="20" xfId="0" applyNumberFormat="1" applyFont="1" applyFill="1" applyBorder="1" applyAlignment="1">
      <alignment horizontal="center" vertical="center" wrapText="1"/>
    </xf>
    <xf numFmtId="0" fontId="30" fillId="24" borderId="0" xfId="0" applyFont="1" applyFill="1" applyAlignment="1">
      <alignment horizontal="center" vertical="center"/>
    </xf>
    <xf numFmtId="0" fontId="8" fillId="0" borderId="2" xfId="0" applyFont="1" applyBorder="1" applyAlignment="1">
      <alignment horizontal="left"/>
    </xf>
    <xf numFmtId="0" fontId="8" fillId="0" borderId="1" xfId="0" applyFont="1" applyBorder="1" applyAlignment="1">
      <alignment horizontal="left"/>
    </xf>
    <xf numFmtId="0" fontId="8" fillId="0" borderId="81" xfId="0" applyFont="1" applyBorder="1" applyAlignment="1">
      <alignment horizontal="left"/>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81" xfId="0" applyFont="1" applyBorder="1" applyAlignment="1">
      <alignment horizontal="left" vertical="center"/>
    </xf>
    <xf numFmtId="0" fontId="7" fillId="0" borderId="2" xfId="0" applyFont="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xf>
    <xf numFmtId="0" fontId="7" fillId="0" borderId="1" xfId="0" applyFont="1" applyBorder="1" applyAlignment="1">
      <alignment horizontal="left"/>
    </xf>
    <xf numFmtId="49" fontId="8" fillId="0" borderId="2" xfId="0" applyNumberFormat="1" applyFont="1" applyBorder="1" applyAlignment="1">
      <alignment horizontal="left"/>
    </xf>
    <xf numFmtId="49" fontId="8" fillId="0" borderId="1" xfId="0" applyNumberFormat="1" applyFont="1" applyBorder="1" applyAlignment="1">
      <alignment horizontal="left"/>
    </xf>
    <xf numFmtId="49" fontId="8" fillId="0" borderId="81" xfId="0" applyNumberFormat="1" applyFont="1" applyBorder="1" applyAlignment="1">
      <alignment horizontal="left"/>
    </xf>
    <xf numFmtId="0" fontId="3" fillId="2" borderId="10" xfId="0" applyFont="1" applyFill="1" applyBorder="1" applyAlignment="1">
      <alignment horizontal="center" vertical="center" wrapText="1"/>
    </xf>
    <xf numFmtId="0" fontId="8" fillId="2" borderId="36" xfId="20" applyFont="1" applyFill="1" applyBorder="1" applyAlignment="1">
      <alignment horizontal="left" vertical="center" wrapText="1"/>
    </xf>
    <xf numFmtId="0" fontId="8" fillId="2" borderId="11" xfId="20" applyFont="1" applyFill="1" applyBorder="1" applyAlignment="1">
      <alignment horizontal="left" vertical="center" wrapText="1"/>
    </xf>
    <xf numFmtId="0" fontId="3" fillId="2" borderId="21" xfId="0" applyFont="1" applyFill="1" applyBorder="1" applyAlignment="1">
      <alignment horizontal="center" wrapText="1"/>
    </xf>
    <xf numFmtId="0" fontId="8" fillId="0" borderId="36" xfId="0" applyFont="1" applyBorder="1" applyAlignment="1">
      <alignment vertical="center" wrapText="1"/>
    </xf>
    <xf numFmtId="0" fontId="8" fillId="0" borderId="11" xfId="0" applyFont="1" applyBorder="1" applyAlignment="1">
      <alignment vertical="center" wrapText="1"/>
    </xf>
    <xf numFmtId="0" fontId="3" fillId="2" borderId="20" xfId="0" applyFont="1" applyFill="1" applyBorder="1" applyAlignment="1">
      <alignment horizontal="center" vertical="center" wrapText="1"/>
    </xf>
    <xf numFmtId="0" fontId="0" fillId="2" borderId="21" xfId="0" applyFill="1" applyBorder="1" applyAlignment="1">
      <alignment horizontal="center" vertical="center" wrapText="1"/>
    </xf>
    <xf numFmtId="0" fontId="3" fillId="2" borderId="20" xfId="0" applyFont="1" applyFill="1" applyBorder="1" applyAlignment="1">
      <alignment wrapText="1"/>
    </xf>
    <xf numFmtId="0" fontId="0" fillId="2" borderId="21" xfId="0" applyFont="1" applyFill="1" applyBorder="1" applyAlignment="1">
      <alignment wrapText="1"/>
    </xf>
    <xf numFmtId="0" fontId="0" fillId="0" borderId="4" xfId="0" applyFill="1" applyBorder="1" applyAlignment="1">
      <alignment horizontal="left" wrapText="1"/>
    </xf>
    <xf numFmtId="0" fontId="0" fillId="0" borderId="7"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3" fillId="0" borderId="4" xfId="0" applyFont="1" applyBorder="1" applyAlignment="1">
      <alignment horizontal="left" vertical="center" wrapText="1"/>
    </xf>
    <xf numFmtId="0" fontId="0" fillId="0" borderId="4" xfId="0" applyBorder="1" applyAlignment="1">
      <alignment horizontal="left" wrapText="1"/>
    </xf>
    <xf numFmtId="0" fontId="0" fillId="0" borderId="7" xfId="0" applyFont="1" applyBorder="1" applyAlignment="1" applyProtection="1">
      <alignment/>
      <protection/>
    </xf>
    <xf numFmtId="0" fontId="0" fillId="0" borderId="5" xfId="0" applyFont="1" applyBorder="1" applyAlignment="1" applyProtection="1">
      <alignment/>
      <protection/>
    </xf>
    <xf numFmtId="0" fontId="0" fillId="0" borderId="6" xfId="0" applyFont="1" applyBorder="1" applyAlignment="1" applyProtection="1">
      <alignment/>
      <protection/>
    </xf>
    <xf numFmtId="0" fontId="6" fillId="0" borderId="0" xfId="0" applyFont="1" applyAlignment="1" applyProtection="1">
      <alignment horizontal="right" vertical="top" wrapText="1"/>
      <protection/>
    </xf>
    <xf numFmtId="0" fontId="6" fillId="0" borderId="15" xfId="0" applyFont="1" applyBorder="1" applyAlignment="1" applyProtection="1">
      <alignment horizontal="right" vertical="top" wrapText="1"/>
      <protection/>
    </xf>
    <xf numFmtId="0" fontId="6" fillId="0" borderId="0" xfId="0" applyFont="1" applyBorder="1" applyAlignment="1" applyProtection="1">
      <alignment horizontal="right" vertical="top" wrapText="1"/>
      <protection/>
    </xf>
    <xf numFmtId="0" fontId="19" fillId="0" borderId="0" xfId="0" applyFont="1" applyBorder="1" applyAlignment="1" applyProtection="1">
      <alignment vertical="top" wrapText="1"/>
      <protection/>
    </xf>
    <xf numFmtId="0" fontId="19" fillId="0" borderId="0" xfId="0" applyFont="1" applyAlignment="1" applyProtection="1">
      <alignment vertical="top" wrapText="1"/>
      <protection/>
    </xf>
    <xf numFmtId="0" fontId="17" fillId="2" borderId="0" xfId="0" applyFont="1" applyFill="1" applyBorder="1" applyAlignment="1" applyProtection="1">
      <alignment horizontal="right" vertical="top" wrapText="1"/>
      <protection/>
    </xf>
    <xf numFmtId="0" fontId="0" fillId="0" borderId="7" xfId="0" applyFont="1" applyBorder="1" applyAlignment="1" applyProtection="1">
      <alignment horizontal="center" vertical="top" wrapText="1"/>
      <protection/>
    </xf>
    <xf numFmtId="0" fontId="0" fillId="0" borderId="5" xfId="0" applyFont="1" applyBorder="1" applyAlignment="1" applyProtection="1">
      <alignment horizontal="center" vertical="top" wrapText="1"/>
      <protection/>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0" fillId="0" borderId="4" xfId="0" applyFont="1" applyBorder="1" applyAlignment="1" applyProtection="1">
      <alignment horizontal="left" vertical="top" wrapText="1"/>
      <protection/>
    </xf>
    <xf numFmtId="0" fontId="0" fillId="0" borderId="4" xfId="0" applyFont="1" applyBorder="1" applyAlignment="1" applyProtection="1">
      <alignment horizontal="center" vertical="top" wrapText="1"/>
      <protection/>
    </xf>
    <xf numFmtId="0" fontId="2" fillId="0" borderId="0" xfId="20" applyBorder="1" applyAlignment="1" applyProtection="1">
      <alignment horizontal="left" vertical="center" wrapText="1"/>
      <protection/>
    </xf>
    <xf numFmtId="0" fontId="0" fillId="0" borderId="4" xfId="0" applyBorder="1" applyAlignment="1" applyProtection="1">
      <alignment horizontal="left" wrapText="1"/>
      <protection locked="0"/>
    </xf>
    <xf numFmtId="0" fontId="3" fillId="0" borderId="0" xfId="21" applyFont="1" applyAlignment="1">
      <alignment horizontal="left" vertical="top" wrapText="1"/>
      <protection/>
    </xf>
    <xf numFmtId="0" fontId="3" fillId="0" borderId="15" xfId="21" applyFont="1" applyBorder="1" applyAlignment="1">
      <alignment horizontal="left" vertical="top" wrapText="1"/>
      <protection/>
    </xf>
    <xf numFmtId="0" fontId="3" fillId="0" borderId="0" xfId="0" applyFont="1" applyBorder="1" applyAlignment="1">
      <alignment horizontal="left" vertical="center" wrapText="1"/>
    </xf>
    <xf numFmtId="0" fontId="0" fillId="0" borderId="4" xfId="0" applyFill="1" applyBorder="1" applyAlignment="1" applyProtection="1">
      <alignment horizontal="left" wrapText="1"/>
      <protection locked="0"/>
    </xf>
    <xf numFmtId="0" fontId="0" fillId="0" borderId="7"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0" fillId="0" borderId="36"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37" xfId="0" applyBorder="1" applyAlignment="1" applyProtection="1">
      <alignment horizontal="left" wrapText="1"/>
      <protection locked="0"/>
    </xf>
    <xf numFmtId="0" fontId="0" fillId="0" borderId="6" xfId="0" applyFont="1" applyBorder="1" applyAlignment="1" applyProtection="1">
      <alignment horizontal="center" vertical="top" wrapText="1"/>
      <protection/>
    </xf>
    <xf numFmtId="0" fontId="6" fillId="0" borderId="0" xfId="0" applyFont="1" applyBorder="1" applyAlignment="1" applyProtection="1">
      <alignment vertical="top" wrapText="1"/>
      <protection/>
    </xf>
    <xf numFmtId="0" fontId="0" fillId="0" borderId="7" xfId="0" applyBorder="1" applyAlignment="1">
      <alignment wrapText="1"/>
    </xf>
    <xf numFmtId="0" fontId="0" fillId="0" borderId="5" xfId="0" applyBorder="1" applyAlignment="1">
      <alignment wrapText="1"/>
    </xf>
    <xf numFmtId="0" fontId="0" fillId="0" borderId="6" xfId="0" applyBorder="1" applyAlignment="1">
      <alignment wrapText="1"/>
    </xf>
    <xf numFmtId="0" fontId="17" fillId="0" borderId="9" xfId="0" applyFont="1" applyBorder="1" applyAlignment="1">
      <alignment horizontal="center" vertical="top" wrapText="1"/>
    </xf>
    <xf numFmtId="0" fontId="17" fillId="0" borderId="15" xfId="0" applyFont="1" applyBorder="1" applyAlignment="1">
      <alignment horizontal="center" vertical="top" wrapText="1"/>
    </xf>
    <xf numFmtId="3" fontId="23" fillId="3" borderId="2" xfId="0" applyNumberFormat="1" applyFont="1" applyFill="1" applyBorder="1" applyAlignment="1">
      <alignment horizontal="center"/>
    </xf>
    <xf numFmtId="0" fontId="23" fillId="3" borderId="81" xfId="0" applyFont="1" applyFill="1" applyBorder="1" applyAlignment="1">
      <alignment horizontal="center"/>
    </xf>
    <xf numFmtId="200" fontId="23" fillId="3" borderId="2" xfId="0" applyNumberFormat="1" applyFont="1" applyFill="1" applyBorder="1" applyAlignment="1" applyProtection="1">
      <alignment horizontal="center"/>
      <protection locked="0"/>
    </xf>
    <xf numFmtId="200" fontId="23" fillId="3" borderId="1" xfId="0" applyNumberFormat="1" applyFont="1" applyFill="1" applyBorder="1" applyAlignment="1" applyProtection="1">
      <alignment horizontal="center"/>
      <protection locked="0"/>
    </xf>
    <xf numFmtId="200" fontId="23" fillId="3" borderId="81" xfId="0" applyNumberFormat="1" applyFont="1" applyFill="1" applyBorder="1" applyAlignment="1" applyProtection="1">
      <alignment horizontal="center"/>
      <protection locked="0"/>
    </xf>
    <xf numFmtId="0" fontId="23" fillId="3" borderId="1" xfId="0" applyFont="1" applyFill="1" applyBorder="1" applyAlignment="1">
      <alignment horizontal="center"/>
    </xf>
    <xf numFmtId="0" fontId="0" fillId="0" borderId="7"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6" xfId="0" applyBorder="1" applyAlignment="1" applyProtection="1">
      <alignment horizontal="left" wrapText="1"/>
      <protection locked="0"/>
    </xf>
    <xf numFmtId="0" fontId="0" fillId="0" borderId="0" xfId="0" applyAlignment="1" applyProtection="1">
      <alignment horizontal="center" vertical="center"/>
      <protection/>
    </xf>
    <xf numFmtId="0" fontId="17" fillId="0" borderId="18" xfId="0" applyFont="1" applyBorder="1" applyAlignment="1" applyProtection="1">
      <alignment horizontal="center" vertical="top" wrapText="1"/>
      <protection/>
    </xf>
    <xf numFmtId="0" fontId="0" fillId="0" borderId="18" xfId="0" applyBorder="1" applyAlignment="1" applyProtection="1">
      <alignment horizontal="center" vertical="top" wrapText="1"/>
      <protection/>
    </xf>
    <xf numFmtId="0" fontId="17" fillId="0" borderId="82" xfId="0" applyFont="1" applyBorder="1" applyAlignment="1" applyProtection="1">
      <alignment horizontal="center" vertical="top" wrapText="1"/>
      <protection/>
    </xf>
    <xf numFmtId="0" fontId="0" fillId="0" borderId="82" xfId="0" applyBorder="1" applyAlignment="1" applyProtection="1">
      <alignment horizontal="center" vertical="top" wrapText="1"/>
      <protection/>
    </xf>
    <xf numFmtId="0" fontId="17" fillId="0" borderId="0" xfId="0" applyFont="1" applyBorder="1" applyAlignment="1" applyProtection="1">
      <alignment horizontal="center" vertical="top" wrapText="1"/>
      <protection/>
    </xf>
    <xf numFmtId="0" fontId="0" fillId="0" borderId="0" xfId="0" applyBorder="1" applyAlignment="1" applyProtection="1">
      <alignment horizontal="center" vertical="top" wrapText="1"/>
      <protection/>
    </xf>
    <xf numFmtId="3" fontId="23" fillId="3" borderId="2" xfId="0" applyNumberFormat="1" applyFont="1" applyFill="1" applyBorder="1" applyAlignment="1" applyProtection="1">
      <alignment horizontal="center"/>
      <protection locked="0"/>
    </xf>
    <xf numFmtId="0" fontId="23" fillId="3" borderId="1" xfId="0" applyFont="1" applyFill="1" applyBorder="1" applyAlignment="1" applyProtection="1">
      <alignment horizontal="center"/>
      <protection locked="0"/>
    </xf>
    <xf numFmtId="0" fontId="23" fillId="3" borderId="81" xfId="0" applyFont="1" applyFill="1" applyBorder="1" applyAlignment="1" applyProtection="1">
      <alignment horizontal="center"/>
      <protection locked="0"/>
    </xf>
    <xf numFmtId="0" fontId="0" fillId="0" borderId="0" xfId="0" applyFont="1" applyAlignment="1">
      <alignment horizontal="right" vertical="top" wrapText="1"/>
    </xf>
    <xf numFmtId="0" fontId="0" fillId="0" borderId="15" xfId="0" applyFont="1" applyBorder="1" applyAlignment="1">
      <alignment horizontal="right" vertical="top" wrapText="1"/>
    </xf>
    <xf numFmtId="0" fontId="0" fillId="0" borderId="0" xfId="0" applyFont="1" applyAlignment="1" applyProtection="1">
      <alignment horizontal="left" vertical="top" wrapText="1"/>
      <protection/>
    </xf>
    <xf numFmtId="0" fontId="0" fillId="0" borderId="15" xfId="0" applyFont="1" applyBorder="1" applyAlignment="1" applyProtection="1">
      <alignment horizontal="left" vertical="top" wrapText="1"/>
      <protection/>
    </xf>
    <xf numFmtId="0" fontId="6" fillId="0" borderId="0" xfId="0" applyFont="1" applyAlignment="1" applyProtection="1">
      <alignment horizontal="center" vertical="top" wrapText="1"/>
      <protection/>
    </xf>
    <xf numFmtId="0" fontId="6" fillId="0" borderId="15" xfId="0" applyFont="1" applyBorder="1" applyAlignment="1" applyProtection="1">
      <alignment horizontal="center" vertical="top"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17" fillId="0" borderId="7" xfId="0" applyFont="1" applyBorder="1" applyAlignment="1" applyProtection="1">
      <alignment horizontal="left" vertical="center" wrapText="1"/>
      <protection/>
    </xf>
    <xf numFmtId="0" fontId="17" fillId="0" borderId="5" xfId="0" applyFont="1" applyBorder="1" applyAlignment="1" applyProtection="1">
      <alignment horizontal="left" vertical="center" wrapText="1"/>
      <protection/>
    </xf>
    <xf numFmtId="0" fontId="17" fillId="0" borderId="6" xfId="0" applyFont="1" applyBorder="1" applyAlignment="1" applyProtection="1">
      <alignment horizontal="left" vertical="center" wrapText="1"/>
      <protection/>
    </xf>
    <xf numFmtId="0" fontId="17" fillId="0" borderId="34" xfId="0" applyFont="1" applyBorder="1" applyAlignment="1" applyProtection="1">
      <alignment vertical="top" wrapText="1"/>
      <protection/>
    </xf>
    <xf numFmtId="0" fontId="0" fillId="0" borderId="0" xfId="0" applyFont="1" applyBorder="1" applyAlignment="1" applyProtection="1">
      <alignment horizontal="left" vertical="top" wrapText="1"/>
      <protection/>
    </xf>
    <xf numFmtId="0" fontId="6" fillId="2" borderId="0" xfId="0" applyFont="1" applyFill="1" applyBorder="1" applyAlignment="1" applyProtection="1">
      <alignment horizontal="right" vertical="top" wrapText="1"/>
      <protection/>
    </xf>
    <xf numFmtId="165" fontId="7" fillId="0" borderId="2" xfId="0" applyNumberFormat="1" applyFont="1" applyBorder="1" applyAlignment="1" applyProtection="1">
      <alignment vertical="center"/>
      <protection/>
    </xf>
    <xf numFmtId="0" fontId="7" fillId="0" borderId="1" xfId="0" applyFont="1" applyBorder="1" applyAlignment="1" applyProtection="1">
      <alignment vertical="center"/>
      <protection/>
    </xf>
    <xf numFmtId="0" fontId="7" fillId="0" borderId="81" xfId="0" applyFont="1" applyBorder="1" applyAlignment="1" applyProtection="1">
      <alignment vertical="center"/>
      <protection/>
    </xf>
    <xf numFmtId="0" fontId="17" fillId="0" borderId="0" xfId="0" applyFont="1" applyAlignment="1" applyProtection="1">
      <alignment horizontal="right" vertical="top" wrapText="1"/>
      <protection/>
    </xf>
    <xf numFmtId="0" fontId="0" fillId="0" borderId="0" xfId="0" applyFont="1" applyAlignment="1" applyProtection="1">
      <alignment horizontal="right" vertical="top" wrapText="1"/>
      <protection/>
    </xf>
    <xf numFmtId="0" fontId="0" fillId="0" borderId="0" xfId="0" applyAlignment="1" applyProtection="1">
      <alignment horizontal="right" vertical="top" wrapText="1"/>
      <protection/>
    </xf>
    <xf numFmtId="0" fontId="0" fillId="0" borderId="7" xfId="20" applyFont="1" applyBorder="1" applyAlignment="1" applyProtection="1">
      <alignment horizontal="left" vertical="top" wrapText="1"/>
      <protection/>
    </xf>
    <xf numFmtId="0" fontId="0" fillId="0" borderId="5" xfId="20" applyFont="1" applyBorder="1" applyAlignment="1" applyProtection="1">
      <alignment horizontal="left" vertical="top" wrapText="1"/>
      <protection/>
    </xf>
    <xf numFmtId="0" fontId="0" fillId="0" borderId="6" xfId="20" applyFont="1" applyBorder="1" applyAlignment="1" applyProtection="1">
      <alignment horizontal="left" vertical="top" wrapText="1"/>
      <protection/>
    </xf>
    <xf numFmtId="0" fontId="0" fillId="2" borderId="0" xfId="0" applyFill="1" applyAlignment="1" applyProtection="1">
      <alignment/>
      <protection/>
    </xf>
    <xf numFmtId="0" fontId="0" fillId="0" borderId="0" xfId="0" applyAlignment="1" applyProtection="1">
      <alignment/>
      <protection/>
    </xf>
    <xf numFmtId="0" fontId="0" fillId="0" borderId="34" xfId="0" applyBorder="1" applyAlignment="1" applyProtection="1">
      <alignment/>
      <protection/>
    </xf>
    <xf numFmtId="0" fontId="7" fillId="0" borderId="2" xfId="0" applyNumberFormat="1" applyFont="1" applyBorder="1" applyAlignment="1" applyProtection="1">
      <alignment vertical="center"/>
      <protection/>
    </xf>
    <xf numFmtId="0" fontId="8" fillId="0" borderId="2" xfId="0" applyFont="1" applyBorder="1" applyAlignment="1" applyProtection="1">
      <alignment horizontal="left" vertical="center" wrapText="1"/>
      <protection locked="0"/>
    </xf>
    <xf numFmtId="0" fontId="8" fillId="0" borderId="81" xfId="0" applyFont="1" applyBorder="1" applyAlignment="1" applyProtection="1">
      <alignment horizontal="left" vertical="center" wrapText="1"/>
      <protection locked="0"/>
    </xf>
    <xf numFmtId="0" fontId="4" fillId="0" borderId="2" xfId="0" applyFont="1" applyBorder="1" applyAlignment="1" applyProtection="1">
      <alignment vertical="center"/>
      <protection/>
    </xf>
    <xf numFmtId="0" fontId="4" fillId="0" borderId="1" xfId="0" applyFont="1" applyBorder="1" applyAlignment="1" applyProtection="1">
      <alignment vertical="center"/>
      <protection/>
    </xf>
    <xf numFmtId="0" fontId="4" fillId="0" borderId="1" xfId="0" applyFont="1" applyBorder="1" applyAlignment="1" applyProtection="1">
      <alignment horizontal="right" vertical="center"/>
      <protection/>
    </xf>
    <xf numFmtId="0" fontId="4" fillId="0" borderId="81" xfId="0" applyFont="1" applyBorder="1" applyAlignment="1" applyProtection="1">
      <alignment horizontal="right" vertical="center"/>
      <protection/>
    </xf>
    <xf numFmtId="0" fontId="8" fillId="0" borderId="81" xfId="0" applyFont="1" applyBorder="1" applyAlignment="1" applyProtection="1">
      <alignment vertical="center"/>
      <protection/>
    </xf>
    <xf numFmtId="0" fontId="8" fillId="0" borderId="2" xfId="0" applyFont="1" applyBorder="1" applyAlignment="1" applyProtection="1">
      <alignment horizontal="left" vertical="center" wrapText="1"/>
      <protection/>
    </xf>
    <xf numFmtId="165" fontId="7" fillId="0" borderId="2" xfId="0" applyNumberFormat="1" applyFont="1" applyBorder="1" applyAlignment="1" applyProtection="1">
      <alignment vertical="center" wrapText="1"/>
      <protection/>
    </xf>
    <xf numFmtId="0" fontId="7" fillId="0" borderId="81" xfId="0" applyFont="1" applyBorder="1" applyAlignment="1" applyProtection="1">
      <alignment vertical="center" wrapText="1"/>
      <protection/>
    </xf>
    <xf numFmtId="49" fontId="8" fillId="0" borderId="2" xfId="0" applyNumberFormat="1" applyFont="1" applyBorder="1" applyAlignment="1" applyProtection="1">
      <alignment horizontal="left" vertical="center" wrapText="1"/>
      <protection locked="0"/>
    </xf>
    <xf numFmtId="49" fontId="8" fillId="0" borderId="1" xfId="0" applyNumberFormat="1" applyFont="1" applyBorder="1" applyAlignment="1" applyProtection="1">
      <alignment horizontal="left" vertical="center" wrapText="1"/>
      <protection locked="0"/>
    </xf>
    <xf numFmtId="49" fontId="8" fillId="0" borderId="81" xfId="0" applyNumberFormat="1" applyFont="1" applyBorder="1" applyAlignment="1" applyProtection="1">
      <alignment horizontal="left" vertical="center" wrapText="1"/>
      <protection locked="0"/>
    </xf>
    <xf numFmtId="165" fontId="7" fillId="0" borderId="83" xfId="0" applyNumberFormat="1" applyFont="1" applyBorder="1" applyAlignment="1" applyProtection="1">
      <alignment vertical="center"/>
      <protection/>
    </xf>
    <xf numFmtId="0" fontId="7" fillId="0" borderId="84" xfId="0" applyFont="1" applyBorder="1" applyAlignment="1" applyProtection="1">
      <alignment/>
      <protection/>
    </xf>
    <xf numFmtId="0" fontId="16" fillId="0" borderId="0" xfId="0" applyFont="1" applyAlignment="1" applyProtection="1">
      <alignment vertical="top" wrapText="1"/>
      <protection/>
    </xf>
    <xf numFmtId="0" fontId="0" fillId="0" borderId="0" xfId="0" applyFont="1" applyAlignment="1" applyProtection="1">
      <alignment/>
      <protection/>
    </xf>
    <xf numFmtId="0" fontId="0" fillId="0" borderId="0" xfId="0" applyAlignment="1">
      <alignment/>
    </xf>
    <xf numFmtId="0" fontId="18" fillId="0" borderId="7" xfId="0" applyFont="1" applyBorder="1" applyAlignment="1" applyProtection="1">
      <alignment horizontal="center" vertical="top" wrapText="1"/>
      <protection/>
    </xf>
    <xf numFmtId="0" fontId="18" fillId="0" borderId="5" xfId="0" applyFont="1" applyBorder="1" applyAlignment="1" applyProtection="1">
      <alignment horizontal="center" vertical="top" wrapText="1"/>
      <protection/>
    </xf>
    <xf numFmtId="0" fontId="18" fillId="0" borderId="6" xfId="0" applyFont="1" applyBorder="1" applyAlignment="1" applyProtection="1">
      <alignment horizontal="center" vertical="top" wrapText="1"/>
      <protection/>
    </xf>
    <xf numFmtId="0" fontId="0" fillId="0" borderId="7" xfId="0" applyBorder="1" applyAlignment="1">
      <alignment/>
    </xf>
    <xf numFmtId="0" fontId="0" fillId="0" borderId="5" xfId="0" applyBorder="1" applyAlignment="1">
      <alignment/>
    </xf>
    <xf numFmtId="0" fontId="0" fillId="0" borderId="6" xfId="0" applyBorder="1" applyAlignment="1">
      <alignment/>
    </xf>
    <xf numFmtId="0" fontId="17" fillId="0" borderId="0" xfId="0" applyFont="1" applyBorder="1" applyAlignment="1" applyProtection="1">
      <alignment horizontal="right" vertical="center" wrapText="1"/>
      <protection/>
    </xf>
    <xf numFmtId="0" fontId="19" fillId="0" borderId="38" xfId="0" applyFont="1" applyBorder="1" applyAlignment="1" applyProtection="1">
      <alignment horizontal="center" vertical="center" wrapText="1"/>
      <protection/>
    </xf>
    <xf numFmtId="0" fontId="0" fillId="0" borderId="39" xfId="0" applyBorder="1" applyAlignment="1" applyProtection="1">
      <alignment horizontal="center" vertical="center" wrapText="1"/>
      <protection/>
    </xf>
    <xf numFmtId="0" fontId="0" fillId="0" borderId="0" xfId="0" applyAlignment="1" applyProtection="1">
      <alignment horizontal="center" vertical="top" wrapText="1"/>
      <protection/>
    </xf>
    <xf numFmtId="0" fontId="17" fillId="0" borderId="0" xfId="0" applyFont="1" applyBorder="1" applyAlignment="1" applyProtection="1">
      <alignment vertical="top" wrapText="1"/>
      <protection/>
    </xf>
    <xf numFmtId="0" fontId="0" fillId="0" borderId="7" xfId="0" applyFont="1" applyBorder="1" applyAlignment="1" applyProtection="1">
      <alignment horizontal="left" vertical="top" wrapText="1"/>
      <protection/>
    </xf>
    <xf numFmtId="0" fontId="0" fillId="0" borderId="5" xfId="0" applyFont="1" applyBorder="1" applyAlignment="1" applyProtection="1">
      <alignment horizontal="left" vertical="top" wrapText="1"/>
      <protection/>
    </xf>
    <xf numFmtId="0" fontId="0" fillId="0" borderId="6" xfId="0" applyFont="1" applyBorder="1" applyAlignment="1" applyProtection="1">
      <alignment horizontal="left" vertical="top" wrapText="1"/>
      <protection/>
    </xf>
    <xf numFmtId="0" fontId="0" fillId="0" borderId="0" xfId="0" applyBorder="1" applyAlignment="1" applyProtection="1">
      <alignment horizontal="right" vertical="center"/>
      <protection/>
    </xf>
    <xf numFmtId="0" fontId="3" fillId="0" borderId="0" xfId="0" applyFont="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0" fillId="0" borderId="7" xfId="0" applyBorder="1" applyAlignment="1" applyProtection="1">
      <alignment wrapText="1"/>
      <protection/>
    </xf>
    <xf numFmtId="0" fontId="0" fillId="0" borderId="5" xfId="0" applyBorder="1" applyAlignment="1" applyProtection="1">
      <alignment wrapText="1"/>
      <protection/>
    </xf>
    <xf numFmtId="0" fontId="0" fillId="0" borderId="6" xfId="0" applyBorder="1" applyAlignment="1" applyProtection="1">
      <alignment wrapText="1"/>
      <protection/>
    </xf>
    <xf numFmtId="0" fontId="0" fillId="0" borderId="7" xfId="0" applyBorder="1" applyAlignment="1" applyProtection="1">
      <alignment wrapText="1"/>
      <protection locked="0"/>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7" xfId="0" applyBorder="1" applyAlignment="1" applyProtection="1">
      <alignment/>
      <protection/>
    </xf>
    <xf numFmtId="0" fontId="0" fillId="0" borderId="5" xfId="0" applyBorder="1" applyAlignment="1" applyProtection="1">
      <alignment/>
      <protection/>
    </xf>
    <xf numFmtId="0" fontId="0" fillId="0" borderId="6" xfId="0" applyBorder="1" applyAlignment="1" applyProtection="1">
      <alignment/>
      <protection/>
    </xf>
    <xf numFmtId="0" fontId="16" fillId="0" borderId="5" xfId="0" applyFont="1" applyBorder="1" applyAlignment="1" applyProtection="1">
      <alignment/>
      <protection/>
    </xf>
    <xf numFmtId="0" fontId="16" fillId="0" borderId="6" xfId="0" applyFont="1" applyBorder="1" applyAlignment="1" applyProtection="1">
      <alignment/>
      <protection/>
    </xf>
    <xf numFmtId="0" fontId="16" fillId="0" borderId="7" xfId="0" applyFont="1" applyBorder="1" applyAlignment="1" applyProtection="1">
      <alignment/>
      <protection/>
    </xf>
    <xf numFmtId="0" fontId="0" fillId="0" borderId="36" xfId="0" applyBorder="1" applyAlignment="1" applyProtection="1">
      <alignment wrapText="1"/>
      <protection locked="0"/>
    </xf>
    <xf numFmtId="0" fontId="0" fillId="0" borderId="11" xfId="0" applyBorder="1" applyAlignment="1" applyProtection="1">
      <alignment wrapText="1"/>
      <protection locked="0"/>
    </xf>
    <xf numFmtId="0" fontId="0" fillId="0" borderId="37" xfId="0" applyBorder="1" applyAlignment="1" applyProtection="1">
      <alignment wrapText="1"/>
      <protection locked="0"/>
    </xf>
    <xf numFmtId="0" fontId="0" fillId="0" borderId="11" xfId="0" applyFont="1" applyBorder="1" applyAlignment="1" applyProtection="1">
      <alignment vertical="top" wrapText="1"/>
      <protection/>
    </xf>
    <xf numFmtId="0" fontId="0" fillId="0" borderId="4" xfId="0" applyBorder="1" applyAlignment="1" applyProtection="1">
      <alignment wrapText="1"/>
      <protection locked="0"/>
    </xf>
    <xf numFmtId="0" fontId="16" fillId="0" borderId="46" xfId="0" applyFont="1" applyBorder="1" applyAlignment="1" applyProtection="1">
      <alignment horizontal="left" vertical="center"/>
      <protection/>
    </xf>
    <xf numFmtId="0" fontId="6" fillId="0" borderId="34" xfId="0" applyFont="1" applyBorder="1" applyAlignment="1" applyProtection="1">
      <alignment vertical="top" wrapText="1"/>
      <protection/>
    </xf>
    <xf numFmtId="0" fontId="28" fillId="0" borderId="2" xfId="0" applyFont="1" applyBorder="1" applyAlignment="1" applyProtection="1">
      <alignment horizontal="left"/>
      <protection/>
    </xf>
    <xf numFmtId="0" fontId="28" fillId="0" borderId="1" xfId="0" applyFont="1" applyBorder="1" applyAlignment="1" applyProtection="1">
      <alignment horizontal="left"/>
      <protection/>
    </xf>
    <xf numFmtId="0" fontId="28" fillId="0" borderId="81" xfId="0" applyFont="1" applyBorder="1" applyAlignment="1" applyProtection="1">
      <alignment horizontal="left"/>
      <protection/>
    </xf>
    <xf numFmtId="0" fontId="18" fillId="0" borderId="7" xfId="0" applyFont="1" applyBorder="1" applyAlignment="1" applyProtection="1">
      <alignment horizontal="left" vertical="center" wrapText="1"/>
      <protection/>
    </xf>
    <xf numFmtId="0" fontId="18" fillId="0" borderId="5" xfId="0" applyFont="1" applyBorder="1" applyAlignment="1" applyProtection="1">
      <alignment horizontal="left" vertical="center" wrapText="1"/>
      <protection/>
    </xf>
    <xf numFmtId="0" fontId="18" fillId="0" borderId="6" xfId="0" applyFont="1" applyBorder="1" applyAlignment="1" applyProtection="1">
      <alignment horizontal="left" vertical="center" wrapText="1"/>
      <protection/>
    </xf>
    <xf numFmtId="0" fontId="29" fillId="0" borderId="7" xfId="0" applyFont="1" applyBorder="1" applyAlignment="1" applyProtection="1">
      <alignment vertical="center" wrapText="1"/>
      <protection/>
    </xf>
    <xf numFmtId="0" fontId="4" fillId="0" borderId="5" xfId="0" applyFont="1" applyBorder="1" applyAlignment="1" applyProtection="1">
      <alignment vertical="center"/>
      <protection/>
    </xf>
    <xf numFmtId="0" fontId="4" fillId="0" borderId="6" xfId="0" applyFont="1" applyBorder="1" applyAlignment="1" applyProtection="1">
      <alignment vertical="center"/>
      <protection/>
    </xf>
    <xf numFmtId="0" fontId="0" fillId="0" borderId="7" xfId="0" applyFont="1" applyBorder="1" applyAlignment="1" applyProtection="1">
      <alignment horizontal="left" vertical="center" wrapText="1"/>
      <protection/>
    </xf>
    <xf numFmtId="0" fontId="0" fillId="0" borderId="5" xfId="0" applyFont="1" applyBorder="1" applyAlignment="1" applyProtection="1">
      <alignment horizontal="left" vertical="center" wrapText="1"/>
      <protection/>
    </xf>
    <xf numFmtId="0" fontId="0" fillId="0" borderId="6" xfId="0" applyFont="1" applyBorder="1" applyAlignment="1" applyProtection="1">
      <alignment horizontal="left" vertical="center" wrapText="1"/>
      <protection/>
    </xf>
    <xf numFmtId="0" fontId="4" fillId="0" borderId="7" xfId="0" applyFont="1" applyBorder="1" applyAlignment="1" applyProtection="1">
      <alignment horizontal="left" vertical="center" wrapText="1"/>
      <protection/>
    </xf>
    <xf numFmtId="0" fontId="0" fillId="0" borderId="5" xfId="0"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8" fillId="0" borderId="7" xfId="0" applyFont="1" applyFill="1" applyBorder="1" applyAlignment="1" applyProtection="1">
      <alignment vertical="center"/>
      <protection/>
    </xf>
    <xf numFmtId="0" fontId="8" fillId="0" borderId="5" xfId="0" applyFont="1" applyFill="1" applyBorder="1" applyAlignment="1" applyProtection="1">
      <alignment vertical="center"/>
      <protection/>
    </xf>
    <xf numFmtId="0" fontId="8" fillId="0" borderId="6" xfId="0" applyFont="1" applyFill="1" applyBorder="1" applyAlignment="1" applyProtection="1">
      <alignment vertical="center"/>
      <protection/>
    </xf>
    <xf numFmtId="0" fontId="0" fillId="0" borderId="75" xfId="0" applyFill="1" applyBorder="1" applyAlignment="1" applyProtection="1">
      <alignment horizontal="center" wrapText="1"/>
      <protection locked="0"/>
    </xf>
    <xf numFmtId="0" fontId="0" fillId="0" borderId="62" xfId="0" applyFill="1" applyBorder="1" applyAlignment="1" applyProtection="1">
      <alignment horizontal="center" wrapText="1"/>
      <protection locked="0"/>
    </xf>
    <xf numFmtId="0" fontId="0" fillId="0" borderId="62" xfId="0" applyFill="1" applyBorder="1" applyAlignment="1" applyProtection="1">
      <alignment wrapText="1"/>
      <protection locked="0"/>
    </xf>
    <xf numFmtId="0" fontId="0" fillId="0" borderId="73" xfId="0" applyFill="1" applyBorder="1" applyAlignment="1" applyProtection="1">
      <alignment wrapText="1"/>
      <protection locked="0"/>
    </xf>
    <xf numFmtId="0" fontId="0" fillId="0" borderId="9" xfId="0" applyFill="1" applyBorder="1" applyAlignment="1" applyProtection="1">
      <alignment horizontal="center" wrapText="1"/>
      <protection locked="0"/>
    </xf>
    <xf numFmtId="0" fontId="0" fillId="0" borderId="0" xfId="0" applyFill="1" applyBorder="1" applyAlignment="1" applyProtection="1">
      <alignment horizontal="center" wrapText="1"/>
      <protection locked="0"/>
    </xf>
    <xf numFmtId="0" fontId="0" fillId="0" borderId="0" xfId="0" applyFill="1" applyBorder="1" applyAlignment="1" applyProtection="1">
      <alignment wrapText="1"/>
      <protection locked="0"/>
    </xf>
    <xf numFmtId="0" fontId="0" fillId="0" borderId="41" xfId="0" applyFill="1" applyBorder="1" applyAlignment="1" applyProtection="1">
      <alignment wrapText="1"/>
      <protection locked="0"/>
    </xf>
    <xf numFmtId="0" fontId="0" fillId="0" borderId="55" xfId="0" applyFill="1" applyBorder="1" applyAlignment="1" applyProtection="1">
      <alignment horizontal="center" wrapText="1"/>
      <protection locked="0"/>
    </xf>
    <xf numFmtId="0" fontId="0" fillId="0" borderId="46" xfId="0" applyFill="1" applyBorder="1" applyAlignment="1" applyProtection="1">
      <alignment horizontal="center" wrapText="1"/>
      <protection locked="0"/>
    </xf>
    <xf numFmtId="0" fontId="0" fillId="0" borderId="46" xfId="0" applyFill="1" applyBorder="1" applyAlignment="1" applyProtection="1">
      <alignment wrapText="1"/>
      <protection locked="0"/>
    </xf>
    <xf numFmtId="0" fontId="0" fillId="0" borderId="74" xfId="0" applyFill="1" applyBorder="1" applyAlignment="1" applyProtection="1">
      <alignment wrapText="1"/>
      <protection locked="0"/>
    </xf>
    <xf numFmtId="0" fontId="13" fillId="0" borderId="2" xfId="0" applyFont="1" applyFill="1" applyBorder="1" applyAlignment="1" applyProtection="1">
      <alignment horizontal="left" wrapText="1"/>
      <protection/>
    </xf>
    <xf numFmtId="0" fontId="13" fillId="0" borderId="1" xfId="0" applyFont="1" applyFill="1" applyBorder="1" applyAlignment="1" applyProtection="1">
      <alignment horizontal="left" wrapText="1"/>
      <protection/>
    </xf>
    <xf numFmtId="0" fontId="0" fillId="0" borderId="1" xfId="0" applyFill="1" applyBorder="1" applyAlignment="1" applyProtection="1">
      <alignment wrapText="1"/>
      <protection/>
    </xf>
    <xf numFmtId="0" fontId="0" fillId="0" borderId="81" xfId="0" applyFill="1" applyBorder="1" applyAlignment="1" applyProtection="1">
      <alignment wrapText="1"/>
      <protection/>
    </xf>
    <xf numFmtId="0" fontId="3" fillId="0" borderId="34" xfId="0" applyNumberFormat="1" applyFont="1" applyFill="1" applyBorder="1" applyAlignment="1" applyProtection="1">
      <alignment vertical="center" wrapText="1"/>
      <protection/>
    </xf>
    <xf numFmtId="0" fontId="3" fillId="0" borderId="39"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vertical="center" wrapText="1"/>
      <protection/>
    </xf>
    <xf numFmtId="0" fontId="9" fillId="0" borderId="2" xfId="20" applyFont="1" applyBorder="1" applyAlignment="1" applyProtection="1">
      <alignment vertical="center" wrapText="1"/>
      <protection locked="0"/>
    </xf>
    <xf numFmtId="0" fontId="9" fillId="0" borderId="81" xfId="20" applyFont="1" applyBorder="1" applyAlignment="1" applyProtection="1">
      <alignment vertical="center" wrapText="1"/>
      <protection locked="0"/>
    </xf>
    <xf numFmtId="49" fontId="8" fillId="0" borderId="2" xfId="0" applyNumberFormat="1" applyFont="1" applyBorder="1" applyAlignment="1" applyProtection="1">
      <alignment vertical="center" wrapText="1"/>
      <protection locked="0"/>
    </xf>
    <xf numFmtId="14" fontId="8" fillId="0" borderId="81" xfId="0" applyNumberFormat="1" applyFont="1" applyBorder="1" applyAlignment="1" applyProtection="1">
      <alignment vertical="center" wrapText="1"/>
      <protection locked="0"/>
    </xf>
    <xf numFmtId="165" fontId="7" fillId="0" borderId="81" xfId="0" applyNumberFormat="1" applyFont="1" applyBorder="1" applyAlignment="1" applyProtection="1">
      <alignment vertical="center"/>
      <protection/>
    </xf>
    <xf numFmtId="0" fontId="8" fillId="0" borderId="81" xfId="0" applyFont="1" applyBorder="1" applyAlignment="1" applyProtection="1">
      <alignment horizontal="left"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334LLLL_DFESXXX_S52B05063" xfId="21"/>
    <cellStyle name="Normal_BTUR 03-04 T0andT1 template user requirements 1p4" xfId="22"/>
    <cellStyle name="Percent" xfId="23"/>
  </cellStyles>
  <dxfs count="8">
    <dxf>
      <fill>
        <patternFill>
          <bgColor rgb="FFCCFFFF"/>
        </patternFill>
      </fill>
      <border/>
    </dxf>
    <dxf>
      <fill>
        <patternFill>
          <bgColor rgb="FFFF0000"/>
        </patternFill>
      </fill>
      <border/>
    </dxf>
    <dxf>
      <fill>
        <patternFill>
          <bgColor rgb="FFFFFF00"/>
        </patternFill>
      </fill>
      <border/>
    </dxf>
    <dxf>
      <font>
        <b/>
        <i val="0"/>
        <color rgb="FFFFFF00"/>
      </font>
      <fill>
        <patternFill>
          <bgColor rgb="FF993300"/>
        </patternFill>
      </fill>
      <border/>
    </dxf>
    <dxf>
      <font>
        <b/>
        <i val="0"/>
        <color rgb="FFFFFFFF"/>
      </font>
      <fill>
        <patternFill>
          <bgColor rgb="FF000080"/>
        </patternFill>
      </fill>
      <border/>
    </dxf>
    <dxf>
      <fill>
        <patternFill>
          <bgColor rgb="FFFFFF99"/>
        </patternFill>
      </fill>
      <border/>
    </dxf>
    <dxf>
      <fill>
        <patternFill>
          <bgColor rgb="FF0000FF"/>
        </patternFill>
      </fill>
      <border/>
    </dxf>
    <dxf>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10.emf" /><Relationship Id="rId4" Type="http://schemas.openxmlformats.org/officeDocument/2006/relationships/hyperlink" Target="http://www.dcsf.gov.uk/localauthorities/section52/docs/DfES_Leagateway_document_526.doc" TargetMode="External" /><Relationship Id="rId5" Type="http://schemas.openxmlformats.org/officeDocument/2006/relationships/hyperlink" Target="http://www.dcsf.gov.uk/localauthorities/section52/docs/DfES_Leagateway_document_533.doc"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hyperlink" Target="http://www.dcsf.gov.uk/localauthorities/section52/docs/DfES_Leagateway_document_526.doc" TargetMode="External" /><Relationship Id="rId3" Type="http://schemas.openxmlformats.org/officeDocument/2006/relationships/hyperlink" Target="http://www.dcsf.gov.uk/localauthorities/section52/docs/DfES_Leagateway_document_533.doc"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1.emf" /><Relationship Id="rId5" Type="http://schemas.openxmlformats.org/officeDocument/2006/relationships/image" Target="../media/image3.emf" /><Relationship Id="rId6" Type="http://schemas.openxmlformats.org/officeDocument/2006/relationships/hyperlink" Target="http://www.dcsf.gov.uk/localauthorities/section52/docs/DfES_Leagateway_document_526.doc" TargetMode="External" /><Relationship Id="rId7" Type="http://schemas.openxmlformats.org/officeDocument/2006/relationships/hyperlink" Target="http://www.dcsf.gov.uk/localauthorities/section52/docs/DfES_Leagateway_document_533.doc"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hyperlink" Target="http://www.dcsf.gov.uk/localauthorities/section52/docs/DfES_Leagateway_document_526.doc" TargetMode="External" /><Relationship Id="rId3" Type="http://schemas.openxmlformats.org/officeDocument/2006/relationships/hyperlink" Target="http://www.dcsf.gov.uk/localauthorities/section52/docs/DfES_Leagateway_document_533.doc"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hyperlink" Target="http://www.dcsf.gov.uk/localauthorities/section52/docs/DfES_Leagateway_document_526.doc" TargetMode="External" /><Relationship Id="rId3" Type="http://schemas.openxmlformats.org/officeDocument/2006/relationships/hyperlink" Target="http://www.dcsf.gov.uk/localauthorities/section52/docs/DfES_Leagateway_document_533.doc"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http://www.dcsf.gov.uk/localauthorities/section52/docs/DfES_Leagateway_document_526.doc" TargetMode="External" /><Relationship Id="rId2" Type="http://schemas.openxmlformats.org/officeDocument/2006/relationships/hyperlink" Target="http://www.dcsf.gov.uk/localauthorities/section52/docs/DfES_Leagateway_document_533.doc"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114300</xdr:rowOff>
    </xdr:from>
    <xdr:to>
      <xdr:col>6</xdr:col>
      <xdr:colOff>57150</xdr:colOff>
      <xdr:row>23</xdr:row>
      <xdr:rowOff>19050</xdr:rowOff>
    </xdr:to>
    <xdr:sp>
      <xdr:nvSpPr>
        <xdr:cNvPr id="1" name="AutoShape 1"/>
        <xdr:cNvSpPr>
          <a:spLocks/>
        </xdr:cNvSpPr>
      </xdr:nvSpPr>
      <xdr:spPr>
        <a:xfrm>
          <a:off x="209550" y="1428750"/>
          <a:ext cx="8943975" cy="2333625"/>
        </a:xfrm>
        <a:prstGeom prst="wedgeRectCallout">
          <a:avLst>
            <a:gd name="adj1" fmla="val -37004"/>
            <a:gd name="adj2" fmla="val 84694"/>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Submitting your children’s, schools and families budget data to the DCSF</a:t>
          </a:r>
          <a:r>
            <a:rPr lang="en-US" cap="none" sz="1000" b="0" i="0" u="none" baseline="0">
              <a:latin typeface="Arial"/>
              <a:ea typeface="Arial"/>
              <a:cs typeface="Arial"/>
            </a:rPr>
            <a:t>
Please read both the instructions and guidance for the Children’s, Schools and Families Financial Data Collection covering funding periods 2 &amp; 3 (2009-10 to 2010-11) and the technical guidance notes for completing the workbook before entering your data.
After you have checked your data for all the tables, amended any errors (red or blue cells) and given explanations for any warnings (yellow cells) you should save this workbook for submission to the DCSF.  
</a:t>
          </a:r>
          <a:r>
            <a:rPr lang="en-US" cap="none" sz="1000" b="1" i="0" u="none" baseline="0">
              <a:latin typeface="Arial"/>
              <a:ea typeface="Arial"/>
              <a:cs typeface="Arial"/>
            </a:rPr>
            <a:t>Please check the validity of this workbook by clicking on the “validate” button above.</a:t>
          </a:r>
          <a:r>
            <a:rPr lang="en-US" cap="none" sz="1000" b="0" i="0" u="none" baseline="0">
              <a:latin typeface="Arial"/>
              <a:ea typeface="Arial"/>
              <a:cs typeface="Arial"/>
            </a:rPr>
            <a:t>  If there are blank cells or other errors in any of the tables, pressing this button will generate the appropriate messages in the grid above.
Should you wish to complete any of the tables (with the exception of Table 2 and Table 3) outside of this workbook please use the “export a table” button.  Once completed, the “import a table” button should be used to bring the table back into the workbook. All tables need to be saved in the same directory for these buttons to function correctly. This will ensure that all linked validation is restored.
</a:t>
          </a:r>
        </a:p>
      </xdr:txBody>
    </xdr:sp>
    <xdr:clientData/>
  </xdr:twoCellAnchor>
  <xdr:twoCellAnchor editAs="oneCell">
    <xdr:from>
      <xdr:col>4</xdr:col>
      <xdr:colOff>123825</xdr:colOff>
      <xdr:row>0</xdr:row>
      <xdr:rowOff>104775</xdr:rowOff>
    </xdr:from>
    <xdr:to>
      <xdr:col>6</xdr:col>
      <xdr:colOff>47625</xdr:colOff>
      <xdr:row>2</xdr:row>
      <xdr:rowOff>85725</xdr:rowOff>
    </xdr:to>
    <xdr:pic>
      <xdr:nvPicPr>
        <xdr:cNvPr id="2" name="cmdValidate"/>
        <xdr:cNvPicPr preferRelativeResize="1">
          <a:picLocks noChangeAspect="1"/>
        </xdr:cNvPicPr>
      </xdr:nvPicPr>
      <xdr:blipFill>
        <a:blip r:embed="rId1"/>
        <a:stretch>
          <a:fillRect/>
        </a:stretch>
      </xdr:blipFill>
      <xdr:spPr>
        <a:xfrm>
          <a:off x="8001000" y="104775"/>
          <a:ext cx="1143000" cy="304800"/>
        </a:xfrm>
        <a:prstGeom prst="rect">
          <a:avLst/>
        </a:prstGeom>
        <a:noFill/>
        <a:ln w="9525" cmpd="sng">
          <a:noFill/>
        </a:ln>
      </xdr:spPr>
    </xdr:pic>
    <xdr:clientData/>
  </xdr:twoCellAnchor>
  <xdr:twoCellAnchor editAs="oneCell">
    <xdr:from>
      <xdr:col>4</xdr:col>
      <xdr:colOff>123825</xdr:colOff>
      <xdr:row>3</xdr:row>
      <xdr:rowOff>0</xdr:rowOff>
    </xdr:from>
    <xdr:to>
      <xdr:col>6</xdr:col>
      <xdr:colOff>47625</xdr:colOff>
      <xdr:row>4</xdr:row>
      <xdr:rowOff>142875</xdr:rowOff>
    </xdr:to>
    <xdr:pic>
      <xdr:nvPicPr>
        <xdr:cNvPr id="3" name="cmdExport"/>
        <xdr:cNvPicPr preferRelativeResize="1">
          <a:picLocks noChangeAspect="1"/>
        </xdr:cNvPicPr>
      </xdr:nvPicPr>
      <xdr:blipFill>
        <a:blip r:embed="rId2"/>
        <a:stretch>
          <a:fillRect/>
        </a:stretch>
      </xdr:blipFill>
      <xdr:spPr>
        <a:xfrm>
          <a:off x="8001000" y="485775"/>
          <a:ext cx="1143000" cy="304800"/>
        </a:xfrm>
        <a:prstGeom prst="rect">
          <a:avLst/>
        </a:prstGeom>
        <a:noFill/>
        <a:ln w="9525" cmpd="sng">
          <a:noFill/>
        </a:ln>
      </xdr:spPr>
    </xdr:pic>
    <xdr:clientData/>
  </xdr:twoCellAnchor>
  <xdr:twoCellAnchor editAs="oneCell">
    <xdr:from>
      <xdr:col>4</xdr:col>
      <xdr:colOff>123825</xdr:colOff>
      <xdr:row>5</xdr:row>
      <xdr:rowOff>0</xdr:rowOff>
    </xdr:from>
    <xdr:to>
      <xdr:col>6</xdr:col>
      <xdr:colOff>47625</xdr:colOff>
      <xdr:row>6</xdr:row>
      <xdr:rowOff>133350</xdr:rowOff>
    </xdr:to>
    <xdr:pic>
      <xdr:nvPicPr>
        <xdr:cNvPr id="4" name="cmdImport"/>
        <xdr:cNvPicPr preferRelativeResize="1">
          <a:picLocks noChangeAspect="1"/>
        </xdr:cNvPicPr>
      </xdr:nvPicPr>
      <xdr:blipFill>
        <a:blip r:embed="rId3"/>
        <a:stretch>
          <a:fillRect/>
        </a:stretch>
      </xdr:blipFill>
      <xdr:spPr>
        <a:xfrm>
          <a:off x="8001000" y="819150"/>
          <a:ext cx="1143000" cy="304800"/>
        </a:xfrm>
        <a:prstGeom prst="rect">
          <a:avLst/>
        </a:prstGeom>
        <a:noFill/>
        <a:ln w="9525" cmpd="sng">
          <a:noFill/>
        </a:ln>
      </xdr:spPr>
    </xdr:pic>
    <xdr:clientData/>
  </xdr:twoCellAnchor>
  <xdr:twoCellAnchor>
    <xdr:from>
      <xdr:col>2</xdr:col>
      <xdr:colOff>2571750</xdr:colOff>
      <xdr:row>23</xdr:row>
      <xdr:rowOff>114300</xdr:rowOff>
    </xdr:from>
    <xdr:to>
      <xdr:col>2</xdr:col>
      <xdr:colOff>4324350</xdr:colOff>
      <xdr:row>27</xdr:row>
      <xdr:rowOff>47625</xdr:rowOff>
    </xdr:to>
    <xdr:sp>
      <xdr:nvSpPr>
        <xdr:cNvPr id="5" name="TextBox 5">
          <a:hlinkClick r:id="rId4"/>
        </xdr:cNvPr>
        <xdr:cNvSpPr txBox="1">
          <a:spLocks noChangeArrowheads="1"/>
        </xdr:cNvSpPr>
      </xdr:nvSpPr>
      <xdr:spPr>
        <a:xfrm>
          <a:off x="3971925" y="3857625"/>
          <a:ext cx="1752600" cy="58102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For 2009-11 budget guidance please click here</a:t>
          </a:r>
        </a:p>
      </xdr:txBody>
    </xdr:sp>
    <xdr:clientData/>
  </xdr:twoCellAnchor>
  <xdr:twoCellAnchor>
    <xdr:from>
      <xdr:col>10</xdr:col>
      <xdr:colOff>285750</xdr:colOff>
      <xdr:row>25</xdr:row>
      <xdr:rowOff>38100</xdr:rowOff>
    </xdr:from>
    <xdr:to>
      <xdr:col>13</xdr:col>
      <xdr:colOff>209550</xdr:colOff>
      <xdr:row>28</xdr:row>
      <xdr:rowOff>114300</xdr:rowOff>
    </xdr:to>
    <xdr:sp>
      <xdr:nvSpPr>
        <xdr:cNvPr id="6" name="TextBox 6"/>
        <xdr:cNvSpPr txBox="1">
          <a:spLocks noChangeArrowheads="1"/>
        </xdr:cNvSpPr>
      </xdr:nvSpPr>
      <xdr:spPr>
        <a:xfrm>
          <a:off x="11820525" y="4105275"/>
          <a:ext cx="1752600" cy="5619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For 2009-11 budget technical user guide please click here</a:t>
          </a:r>
        </a:p>
      </xdr:txBody>
    </xdr:sp>
    <xdr:clientData/>
  </xdr:twoCellAnchor>
  <xdr:twoCellAnchor>
    <xdr:from>
      <xdr:col>2</xdr:col>
      <xdr:colOff>4438650</xdr:colOff>
      <xdr:row>23</xdr:row>
      <xdr:rowOff>123825</xdr:rowOff>
    </xdr:from>
    <xdr:to>
      <xdr:col>3</xdr:col>
      <xdr:colOff>323850</xdr:colOff>
      <xdr:row>27</xdr:row>
      <xdr:rowOff>47625</xdr:rowOff>
    </xdr:to>
    <xdr:sp>
      <xdr:nvSpPr>
        <xdr:cNvPr id="7" name="TextBox 7">
          <a:hlinkClick r:id="rId5"/>
        </xdr:cNvPr>
        <xdr:cNvSpPr txBox="1">
          <a:spLocks noChangeArrowheads="1"/>
        </xdr:cNvSpPr>
      </xdr:nvSpPr>
      <xdr:spPr>
        <a:xfrm>
          <a:off x="5838825" y="3867150"/>
          <a:ext cx="1752600" cy="57150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1000" b="1" i="0" u="none" baseline="0">
              <a:latin typeface="Arial"/>
              <a:ea typeface="Arial"/>
              <a:cs typeface="Arial"/>
            </a:rPr>
            <a:t>For 2009-11 budget technical user guide please click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0</xdr:row>
      <xdr:rowOff>28575</xdr:rowOff>
    </xdr:from>
    <xdr:to>
      <xdr:col>8</xdr:col>
      <xdr:colOff>523875</xdr:colOff>
      <xdr:row>0</xdr:row>
      <xdr:rowOff>409575</xdr:rowOff>
    </xdr:to>
    <xdr:pic>
      <xdr:nvPicPr>
        <xdr:cNvPr id="1" name="cmdT1ShowBlanks"/>
        <xdr:cNvPicPr preferRelativeResize="1">
          <a:picLocks noChangeAspect="1"/>
        </xdr:cNvPicPr>
      </xdr:nvPicPr>
      <xdr:blipFill>
        <a:blip r:embed="rId1"/>
        <a:stretch>
          <a:fillRect/>
        </a:stretch>
      </xdr:blipFill>
      <xdr:spPr>
        <a:xfrm>
          <a:off x="5334000" y="28575"/>
          <a:ext cx="1104900" cy="381000"/>
        </a:xfrm>
        <a:prstGeom prst="rect">
          <a:avLst/>
        </a:prstGeom>
        <a:noFill/>
        <a:ln w="9525" cmpd="sng">
          <a:noFill/>
        </a:ln>
      </xdr:spPr>
    </xdr:pic>
    <xdr:clientData/>
  </xdr:twoCellAnchor>
  <xdr:twoCellAnchor>
    <xdr:from>
      <xdr:col>4</xdr:col>
      <xdr:colOff>228600</xdr:colOff>
      <xdr:row>1</xdr:row>
      <xdr:rowOff>76200</xdr:rowOff>
    </xdr:from>
    <xdr:to>
      <xdr:col>4</xdr:col>
      <xdr:colOff>1981200</xdr:colOff>
      <xdr:row>1</xdr:row>
      <xdr:rowOff>361950</xdr:rowOff>
    </xdr:to>
    <xdr:sp>
      <xdr:nvSpPr>
        <xdr:cNvPr id="2" name="TextBox 2">
          <a:hlinkClick r:id="rId2"/>
        </xdr:cNvPr>
        <xdr:cNvSpPr txBox="1">
          <a:spLocks noChangeArrowheads="1"/>
        </xdr:cNvSpPr>
      </xdr:nvSpPr>
      <xdr:spPr>
        <a:xfrm>
          <a:off x="3295650" y="514350"/>
          <a:ext cx="1752600" cy="28575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guidance please click here</a:t>
          </a:r>
        </a:p>
      </xdr:txBody>
    </xdr:sp>
    <xdr:clientData/>
  </xdr:twoCellAnchor>
  <xdr:twoCellAnchor>
    <xdr:from>
      <xdr:col>5</xdr:col>
      <xdr:colOff>38100</xdr:colOff>
      <xdr:row>1</xdr:row>
      <xdr:rowOff>66675</xdr:rowOff>
    </xdr:from>
    <xdr:to>
      <xdr:col>11</xdr:col>
      <xdr:colOff>0</xdr:colOff>
      <xdr:row>1</xdr:row>
      <xdr:rowOff>361950</xdr:rowOff>
    </xdr:to>
    <xdr:sp>
      <xdr:nvSpPr>
        <xdr:cNvPr id="3" name="TextBox 3">
          <a:hlinkClick r:id="rId3"/>
        </xdr:cNvPr>
        <xdr:cNvSpPr txBox="1">
          <a:spLocks noChangeArrowheads="1"/>
        </xdr:cNvSpPr>
      </xdr:nvSpPr>
      <xdr:spPr>
        <a:xfrm>
          <a:off x="5172075" y="504825"/>
          <a:ext cx="2057400" cy="2952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technical user guide please click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285750</xdr:colOff>
      <xdr:row>0</xdr:row>
      <xdr:rowOff>28575</xdr:rowOff>
    </xdr:from>
    <xdr:to>
      <xdr:col>5</xdr:col>
      <xdr:colOff>676275</xdr:colOff>
      <xdr:row>0</xdr:row>
      <xdr:rowOff>409575</xdr:rowOff>
    </xdr:to>
    <xdr:pic>
      <xdr:nvPicPr>
        <xdr:cNvPr id="1" name="tglFilterOnOff"/>
        <xdr:cNvPicPr preferRelativeResize="1">
          <a:picLocks noChangeAspect="1"/>
        </xdr:cNvPicPr>
      </xdr:nvPicPr>
      <xdr:blipFill>
        <a:blip r:embed="rId1"/>
        <a:stretch>
          <a:fillRect/>
        </a:stretch>
      </xdr:blipFill>
      <xdr:spPr>
        <a:xfrm>
          <a:off x="6172200" y="28575"/>
          <a:ext cx="1104900" cy="381000"/>
        </a:xfrm>
        <a:prstGeom prst="rect">
          <a:avLst/>
        </a:prstGeom>
        <a:noFill/>
        <a:ln w="9525" cmpd="sng">
          <a:noFill/>
        </a:ln>
      </xdr:spPr>
    </xdr:pic>
    <xdr:clientData/>
  </xdr:twoCellAnchor>
  <xdr:twoCellAnchor editAs="oneCell">
    <xdr:from>
      <xdr:col>6</xdr:col>
      <xdr:colOff>438150</xdr:colOff>
      <xdr:row>0</xdr:row>
      <xdr:rowOff>28575</xdr:rowOff>
    </xdr:from>
    <xdr:to>
      <xdr:col>8</xdr:col>
      <xdr:colOff>114300</xdr:colOff>
      <xdr:row>0</xdr:row>
      <xdr:rowOff>409575</xdr:rowOff>
    </xdr:to>
    <xdr:pic>
      <xdr:nvPicPr>
        <xdr:cNvPr id="2" name="cmdT2ShowBlanks"/>
        <xdr:cNvPicPr preferRelativeResize="1">
          <a:picLocks noChangeAspect="1"/>
        </xdr:cNvPicPr>
      </xdr:nvPicPr>
      <xdr:blipFill>
        <a:blip r:embed="rId2"/>
        <a:stretch>
          <a:fillRect/>
        </a:stretch>
      </xdr:blipFill>
      <xdr:spPr>
        <a:xfrm>
          <a:off x="7753350" y="28575"/>
          <a:ext cx="1104900" cy="381000"/>
        </a:xfrm>
        <a:prstGeom prst="rect">
          <a:avLst/>
        </a:prstGeom>
        <a:noFill/>
        <a:ln w="9525" cmpd="sng">
          <a:noFill/>
        </a:ln>
      </xdr:spPr>
    </xdr:pic>
    <xdr:clientData/>
  </xdr:twoCellAnchor>
  <xdr:twoCellAnchor editAs="oneCell">
    <xdr:from>
      <xdr:col>1</xdr:col>
      <xdr:colOff>38100</xdr:colOff>
      <xdr:row>13</xdr:row>
      <xdr:rowOff>28575</xdr:rowOff>
    </xdr:from>
    <xdr:to>
      <xdr:col>1</xdr:col>
      <xdr:colOff>476250</xdr:colOff>
      <xdr:row>14</xdr:row>
      <xdr:rowOff>133350</xdr:rowOff>
    </xdr:to>
    <xdr:pic>
      <xdr:nvPicPr>
        <xdr:cNvPr id="3" name="cmdSortLEAref"/>
        <xdr:cNvPicPr preferRelativeResize="1">
          <a:picLocks noChangeAspect="1"/>
        </xdr:cNvPicPr>
      </xdr:nvPicPr>
      <xdr:blipFill>
        <a:blip r:embed="rId3"/>
        <a:stretch>
          <a:fillRect/>
        </a:stretch>
      </xdr:blipFill>
      <xdr:spPr>
        <a:xfrm>
          <a:off x="647700" y="3019425"/>
          <a:ext cx="438150" cy="266700"/>
        </a:xfrm>
        <a:prstGeom prst="rect">
          <a:avLst/>
        </a:prstGeom>
        <a:noFill/>
        <a:ln w="9525" cmpd="sng">
          <a:noFill/>
        </a:ln>
      </xdr:spPr>
    </xdr:pic>
    <xdr:clientData/>
  </xdr:twoCellAnchor>
  <xdr:twoCellAnchor editAs="oneCell">
    <xdr:from>
      <xdr:col>2</xdr:col>
      <xdr:colOff>533400</xdr:colOff>
      <xdr:row>13</xdr:row>
      <xdr:rowOff>28575</xdr:rowOff>
    </xdr:from>
    <xdr:to>
      <xdr:col>2</xdr:col>
      <xdr:colOff>971550</xdr:colOff>
      <xdr:row>14</xdr:row>
      <xdr:rowOff>133350</xdr:rowOff>
    </xdr:to>
    <xdr:pic>
      <xdr:nvPicPr>
        <xdr:cNvPr id="4" name="cmdSortName"/>
        <xdr:cNvPicPr preferRelativeResize="1">
          <a:picLocks noChangeAspect="1"/>
        </xdr:cNvPicPr>
      </xdr:nvPicPr>
      <xdr:blipFill>
        <a:blip r:embed="rId4"/>
        <a:stretch>
          <a:fillRect/>
        </a:stretch>
      </xdr:blipFill>
      <xdr:spPr>
        <a:xfrm>
          <a:off x="1714500" y="3019425"/>
          <a:ext cx="438150" cy="266700"/>
        </a:xfrm>
        <a:prstGeom prst="rect">
          <a:avLst/>
        </a:prstGeom>
        <a:noFill/>
        <a:ln w="9525" cmpd="sng">
          <a:noFill/>
        </a:ln>
      </xdr:spPr>
    </xdr:pic>
    <xdr:clientData/>
  </xdr:twoCellAnchor>
  <xdr:twoCellAnchor editAs="oneCell">
    <xdr:from>
      <xdr:col>3</xdr:col>
      <xdr:colOff>85725</xdr:colOff>
      <xdr:row>13</xdr:row>
      <xdr:rowOff>28575</xdr:rowOff>
    </xdr:from>
    <xdr:to>
      <xdr:col>3</xdr:col>
      <xdr:colOff>523875</xdr:colOff>
      <xdr:row>14</xdr:row>
      <xdr:rowOff>133350</xdr:rowOff>
    </xdr:to>
    <xdr:pic>
      <xdr:nvPicPr>
        <xdr:cNvPr id="5" name="cmdSortDfES"/>
        <xdr:cNvPicPr preferRelativeResize="1">
          <a:picLocks noChangeAspect="1"/>
        </xdr:cNvPicPr>
      </xdr:nvPicPr>
      <xdr:blipFill>
        <a:blip r:embed="rId5"/>
        <a:stretch>
          <a:fillRect/>
        </a:stretch>
      </xdr:blipFill>
      <xdr:spPr>
        <a:xfrm>
          <a:off x="5400675" y="3019425"/>
          <a:ext cx="438150" cy="266700"/>
        </a:xfrm>
        <a:prstGeom prst="rect">
          <a:avLst/>
        </a:prstGeom>
        <a:noFill/>
        <a:ln w="9525" cmpd="sng">
          <a:noFill/>
        </a:ln>
      </xdr:spPr>
    </xdr:pic>
    <xdr:clientData/>
  </xdr:twoCellAnchor>
  <xdr:twoCellAnchor>
    <xdr:from>
      <xdr:col>2</xdr:col>
      <xdr:colOff>3381375</xdr:colOff>
      <xdr:row>1</xdr:row>
      <xdr:rowOff>76200</xdr:rowOff>
    </xdr:from>
    <xdr:to>
      <xdr:col>4</xdr:col>
      <xdr:colOff>428625</xdr:colOff>
      <xdr:row>1</xdr:row>
      <xdr:rowOff>361950</xdr:rowOff>
    </xdr:to>
    <xdr:sp>
      <xdr:nvSpPr>
        <xdr:cNvPr id="6" name="TextBox 6">
          <a:hlinkClick r:id="rId6"/>
        </xdr:cNvPr>
        <xdr:cNvSpPr txBox="1">
          <a:spLocks noChangeArrowheads="1"/>
        </xdr:cNvSpPr>
      </xdr:nvSpPr>
      <xdr:spPr>
        <a:xfrm>
          <a:off x="4562475" y="514350"/>
          <a:ext cx="1752600" cy="28575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guidance please click here</a:t>
          </a:r>
        </a:p>
      </xdr:txBody>
    </xdr:sp>
    <xdr:clientData/>
  </xdr:twoCellAnchor>
  <xdr:twoCellAnchor>
    <xdr:from>
      <xdr:col>4</xdr:col>
      <xdr:colOff>504825</xdr:colOff>
      <xdr:row>1</xdr:row>
      <xdr:rowOff>66675</xdr:rowOff>
    </xdr:from>
    <xdr:to>
      <xdr:col>7</xdr:col>
      <xdr:colOff>419100</xdr:colOff>
      <xdr:row>1</xdr:row>
      <xdr:rowOff>361950</xdr:rowOff>
    </xdr:to>
    <xdr:sp>
      <xdr:nvSpPr>
        <xdr:cNvPr id="7" name="TextBox 7">
          <a:hlinkClick r:id="rId7"/>
        </xdr:cNvPr>
        <xdr:cNvSpPr txBox="1">
          <a:spLocks noChangeArrowheads="1"/>
        </xdr:cNvSpPr>
      </xdr:nvSpPr>
      <xdr:spPr>
        <a:xfrm>
          <a:off x="6391275" y="504825"/>
          <a:ext cx="2057400" cy="2952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technical user guide please click here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0</xdr:row>
      <xdr:rowOff>28575</xdr:rowOff>
    </xdr:from>
    <xdr:to>
      <xdr:col>10</xdr:col>
      <xdr:colOff>295275</xdr:colOff>
      <xdr:row>0</xdr:row>
      <xdr:rowOff>409575</xdr:rowOff>
    </xdr:to>
    <xdr:pic>
      <xdr:nvPicPr>
        <xdr:cNvPr id="1" name="cmdT3AddSchool"/>
        <xdr:cNvPicPr preferRelativeResize="1">
          <a:picLocks noChangeAspect="1"/>
        </xdr:cNvPicPr>
      </xdr:nvPicPr>
      <xdr:blipFill>
        <a:blip r:embed="rId1"/>
        <a:stretch>
          <a:fillRect/>
        </a:stretch>
      </xdr:blipFill>
      <xdr:spPr>
        <a:xfrm>
          <a:off x="6400800" y="28575"/>
          <a:ext cx="1104900" cy="381000"/>
        </a:xfrm>
        <a:prstGeom prst="rect">
          <a:avLst/>
        </a:prstGeom>
        <a:noFill/>
        <a:ln w="9525" cmpd="sng">
          <a:noFill/>
        </a:ln>
      </xdr:spPr>
    </xdr:pic>
    <xdr:clientData/>
  </xdr:twoCellAnchor>
  <xdr:twoCellAnchor>
    <xdr:from>
      <xdr:col>6</xdr:col>
      <xdr:colOff>514350</xdr:colOff>
      <xdr:row>1</xdr:row>
      <xdr:rowOff>76200</xdr:rowOff>
    </xdr:from>
    <xdr:to>
      <xdr:col>9</xdr:col>
      <xdr:colOff>438150</xdr:colOff>
      <xdr:row>1</xdr:row>
      <xdr:rowOff>361950</xdr:rowOff>
    </xdr:to>
    <xdr:sp>
      <xdr:nvSpPr>
        <xdr:cNvPr id="2" name="TextBox 2">
          <a:hlinkClick r:id="rId2"/>
        </xdr:cNvPr>
        <xdr:cNvSpPr txBox="1">
          <a:spLocks noChangeArrowheads="1"/>
        </xdr:cNvSpPr>
      </xdr:nvSpPr>
      <xdr:spPr>
        <a:xfrm>
          <a:off x="5286375" y="514350"/>
          <a:ext cx="1752600" cy="28575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guidance please click here</a:t>
          </a:r>
        </a:p>
      </xdr:txBody>
    </xdr:sp>
    <xdr:clientData/>
  </xdr:twoCellAnchor>
  <xdr:twoCellAnchor>
    <xdr:from>
      <xdr:col>9</xdr:col>
      <xdr:colOff>485775</xdr:colOff>
      <xdr:row>1</xdr:row>
      <xdr:rowOff>66675</xdr:rowOff>
    </xdr:from>
    <xdr:to>
      <xdr:col>13</xdr:col>
      <xdr:colOff>0</xdr:colOff>
      <xdr:row>1</xdr:row>
      <xdr:rowOff>361950</xdr:rowOff>
    </xdr:to>
    <xdr:sp>
      <xdr:nvSpPr>
        <xdr:cNvPr id="3" name="TextBox 3">
          <a:hlinkClick r:id="rId3"/>
        </xdr:cNvPr>
        <xdr:cNvSpPr txBox="1">
          <a:spLocks noChangeArrowheads="1"/>
        </xdr:cNvSpPr>
      </xdr:nvSpPr>
      <xdr:spPr>
        <a:xfrm>
          <a:off x="7086600" y="504825"/>
          <a:ext cx="2057400" cy="2952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technical user guide please click here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419100</xdr:colOff>
      <xdr:row>0</xdr:row>
      <xdr:rowOff>28575</xdr:rowOff>
    </xdr:from>
    <xdr:to>
      <xdr:col>7</xdr:col>
      <xdr:colOff>200025</xdr:colOff>
      <xdr:row>0</xdr:row>
      <xdr:rowOff>409575</xdr:rowOff>
    </xdr:to>
    <xdr:pic>
      <xdr:nvPicPr>
        <xdr:cNvPr id="1" name="cmdT3bAddSchool"/>
        <xdr:cNvPicPr preferRelativeResize="1">
          <a:picLocks noChangeAspect="1"/>
        </xdr:cNvPicPr>
      </xdr:nvPicPr>
      <xdr:blipFill>
        <a:blip r:embed="rId1"/>
        <a:stretch>
          <a:fillRect/>
        </a:stretch>
      </xdr:blipFill>
      <xdr:spPr>
        <a:xfrm>
          <a:off x="4772025" y="28575"/>
          <a:ext cx="1104900" cy="381000"/>
        </a:xfrm>
        <a:prstGeom prst="rect">
          <a:avLst/>
        </a:prstGeom>
        <a:noFill/>
        <a:ln w="9525" cmpd="sng">
          <a:noFill/>
        </a:ln>
      </xdr:spPr>
    </xdr:pic>
    <xdr:clientData/>
  </xdr:twoCellAnchor>
  <xdr:twoCellAnchor>
    <xdr:from>
      <xdr:col>5</xdr:col>
      <xdr:colOff>76200</xdr:colOff>
      <xdr:row>1</xdr:row>
      <xdr:rowOff>38100</xdr:rowOff>
    </xdr:from>
    <xdr:to>
      <xdr:col>7</xdr:col>
      <xdr:colOff>504825</xdr:colOff>
      <xdr:row>1</xdr:row>
      <xdr:rowOff>323850</xdr:rowOff>
    </xdr:to>
    <xdr:sp>
      <xdr:nvSpPr>
        <xdr:cNvPr id="2" name="TextBox 2">
          <a:hlinkClick r:id="rId2"/>
        </xdr:cNvPr>
        <xdr:cNvSpPr txBox="1">
          <a:spLocks noChangeArrowheads="1"/>
        </xdr:cNvSpPr>
      </xdr:nvSpPr>
      <xdr:spPr>
        <a:xfrm>
          <a:off x="4429125" y="476250"/>
          <a:ext cx="1752600" cy="28575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guidance please click here</a:t>
          </a:r>
        </a:p>
      </xdr:txBody>
    </xdr:sp>
    <xdr:clientData/>
  </xdr:twoCellAnchor>
  <xdr:twoCellAnchor>
    <xdr:from>
      <xdr:col>7</xdr:col>
      <xdr:colOff>600075</xdr:colOff>
      <xdr:row>1</xdr:row>
      <xdr:rowOff>28575</xdr:rowOff>
    </xdr:from>
    <xdr:to>
      <xdr:col>11</xdr:col>
      <xdr:colOff>180975</xdr:colOff>
      <xdr:row>1</xdr:row>
      <xdr:rowOff>323850</xdr:rowOff>
    </xdr:to>
    <xdr:sp>
      <xdr:nvSpPr>
        <xdr:cNvPr id="3" name="TextBox 3">
          <a:hlinkClick r:id="rId3"/>
        </xdr:cNvPr>
        <xdr:cNvSpPr txBox="1">
          <a:spLocks noChangeArrowheads="1"/>
        </xdr:cNvSpPr>
      </xdr:nvSpPr>
      <xdr:spPr>
        <a:xfrm>
          <a:off x="6276975" y="466725"/>
          <a:ext cx="2057400" cy="2952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technical user guide please click here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0</xdr:row>
      <xdr:rowOff>104775</xdr:rowOff>
    </xdr:from>
    <xdr:to>
      <xdr:col>11</xdr:col>
      <xdr:colOff>76200</xdr:colOff>
      <xdr:row>1</xdr:row>
      <xdr:rowOff>228600</xdr:rowOff>
    </xdr:to>
    <xdr:sp>
      <xdr:nvSpPr>
        <xdr:cNvPr id="1" name="TextBox 33">
          <a:hlinkClick r:id="rId1"/>
        </xdr:cNvPr>
        <xdr:cNvSpPr txBox="1">
          <a:spLocks noChangeArrowheads="1"/>
        </xdr:cNvSpPr>
      </xdr:nvSpPr>
      <xdr:spPr>
        <a:xfrm>
          <a:off x="5114925" y="104775"/>
          <a:ext cx="1752600" cy="285750"/>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guidance please click here</a:t>
          </a:r>
        </a:p>
      </xdr:txBody>
    </xdr:sp>
    <xdr:clientData/>
  </xdr:twoCellAnchor>
  <xdr:twoCellAnchor>
    <xdr:from>
      <xdr:col>12</xdr:col>
      <xdr:colOff>38100</xdr:colOff>
      <xdr:row>0</xdr:row>
      <xdr:rowOff>95250</xdr:rowOff>
    </xdr:from>
    <xdr:to>
      <xdr:col>14</xdr:col>
      <xdr:colOff>1038225</xdr:colOff>
      <xdr:row>1</xdr:row>
      <xdr:rowOff>228600</xdr:rowOff>
    </xdr:to>
    <xdr:sp>
      <xdr:nvSpPr>
        <xdr:cNvPr id="2" name="TextBox 34">
          <a:hlinkClick r:id="rId2"/>
        </xdr:cNvPr>
        <xdr:cNvSpPr txBox="1">
          <a:spLocks noChangeArrowheads="1"/>
        </xdr:cNvSpPr>
      </xdr:nvSpPr>
      <xdr:spPr>
        <a:xfrm>
          <a:off x="6934200" y="95250"/>
          <a:ext cx="2057400" cy="295275"/>
        </a:xfrm>
        <a:prstGeom prst="rect">
          <a:avLst/>
        </a:prstGeom>
        <a:gradFill rotWithShape="1">
          <a:gsLst>
            <a:gs pos="0">
              <a:srgbClr val="CCFFCC"/>
            </a:gs>
            <a:gs pos="100000">
              <a:srgbClr val="FFFF99"/>
            </a:gs>
          </a:gsLst>
          <a:lin ang="5400000" scaled="1"/>
        </a:gradFill>
        <a:ln w="9525" cmpd="sng">
          <a:solidFill>
            <a:srgbClr val="000000"/>
          </a:solidFill>
          <a:headEnd type="none"/>
          <a:tailEnd type="none"/>
        </a:ln>
      </xdr:spPr>
      <xdr:txBody>
        <a:bodyPr vertOverflow="clip" wrap="square" anchor="ctr"/>
        <a:p>
          <a:pPr algn="ctr">
            <a:defRPr/>
          </a:pPr>
          <a:r>
            <a:rPr lang="en-US" cap="none" sz="800" b="1" i="0" u="none" baseline="0">
              <a:latin typeface="Arial"/>
              <a:ea typeface="Arial"/>
              <a:cs typeface="Arial"/>
            </a:rPr>
            <a:t>For 2009-11 budget technical user guide please click here</a:t>
          </a:r>
        </a:p>
      </xdr:txBody>
    </xdr:sp>
    <xdr:clientData/>
  </xdr:twoCellAnchor>
  <xdr:twoCellAnchor>
    <xdr:from>
      <xdr:col>9</xdr:col>
      <xdr:colOff>95250</xdr:colOff>
      <xdr:row>280</xdr:row>
      <xdr:rowOff>28575</xdr:rowOff>
    </xdr:from>
    <xdr:to>
      <xdr:col>9</xdr:col>
      <xdr:colOff>171450</xdr:colOff>
      <xdr:row>283</xdr:row>
      <xdr:rowOff>142875</xdr:rowOff>
    </xdr:to>
    <xdr:sp>
      <xdr:nvSpPr>
        <xdr:cNvPr id="3" name="AutoShape 35"/>
        <xdr:cNvSpPr>
          <a:spLocks/>
        </xdr:cNvSpPr>
      </xdr:nvSpPr>
      <xdr:spPr>
        <a:xfrm>
          <a:off x="5972175" y="61379100"/>
          <a:ext cx="76200"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288</xdr:row>
      <xdr:rowOff>57150</xdr:rowOff>
    </xdr:from>
    <xdr:to>
      <xdr:col>9</xdr:col>
      <xdr:colOff>95250</xdr:colOff>
      <xdr:row>289</xdr:row>
      <xdr:rowOff>152400</xdr:rowOff>
    </xdr:to>
    <xdr:sp>
      <xdr:nvSpPr>
        <xdr:cNvPr id="4" name="AutoShape 36"/>
        <xdr:cNvSpPr>
          <a:spLocks/>
        </xdr:cNvSpPr>
      </xdr:nvSpPr>
      <xdr:spPr>
        <a:xfrm>
          <a:off x="5895975" y="62912625"/>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F6"/>
  <sheetViews>
    <sheetView showGridLines="0" workbookViewId="0" topLeftCell="A1">
      <selection activeCell="E28" sqref="E28"/>
    </sheetView>
  </sheetViews>
  <sheetFormatPr defaultColWidth="9.140625" defaultRowHeight="12.75"/>
  <cols>
    <col min="1" max="1" width="3.140625" style="0" customWidth="1"/>
    <col min="2" max="2" width="17.8515625" style="0" customWidth="1"/>
    <col min="3" max="3" width="88.00390625" style="0" customWidth="1"/>
  </cols>
  <sheetData>
    <row r="2" spans="2:6" ht="12.75">
      <c r="B2" s="441" t="s">
        <v>795</v>
      </c>
      <c r="C2" s="860" t="s">
        <v>796</v>
      </c>
      <c r="F2" t="s">
        <v>602</v>
      </c>
    </row>
    <row r="3" spans="2:3" ht="12.75">
      <c r="B3" s="861" t="s">
        <v>797</v>
      </c>
      <c r="C3" s="862" t="s">
        <v>798</v>
      </c>
    </row>
    <row r="4" spans="2:3" ht="12.75" customHeight="1">
      <c r="B4" s="863" t="s">
        <v>799</v>
      </c>
      <c r="C4" s="864" t="s">
        <v>798</v>
      </c>
    </row>
    <row r="5" spans="2:3" ht="13.5" thickBot="1">
      <c r="B5" s="865" t="s">
        <v>800</v>
      </c>
      <c r="C5" s="862" t="s">
        <v>798</v>
      </c>
    </row>
    <row r="6" spans="2:3" ht="13.5" thickTop="1">
      <c r="B6" s="866"/>
      <c r="C6" s="866"/>
    </row>
  </sheetData>
  <sheetProtection/>
  <printOptions/>
  <pageMargins left="0.22" right="0.17" top="0.29" bottom="0.33" header="0.17" footer="0.17"/>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15">
    <pageSetUpPr fitToPage="1"/>
  </sheetPr>
  <dimension ref="A1:BN136"/>
  <sheetViews>
    <sheetView showGridLines="0" tabSelected="1" workbookViewId="0" topLeftCell="A1">
      <pane xSplit="4" ySplit="6" topLeftCell="E7" activePane="bottomRight" state="frozen"/>
      <selection pane="topLeft" activeCell="A1" sqref="A1"/>
      <selection pane="topRight" activeCell="E1" sqref="E1"/>
      <selection pane="bottomLeft" activeCell="A7" sqref="A7"/>
      <selection pane="bottomRight" activeCell="D4" sqref="D4"/>
    </sheetView>
  </sheetViews>
  <sheetFormatPr defaultColWidth="9.140625" defaultRowHeight="12.75"/>
  <cols>
    <col min="1" max="1" width="7.8515625" style="3" customWidth="1"/>
    <col min="2" max="2" width="6.8515625" style="3" customWidth="1"/>
    <col min="3" max="3" width="5.140625" style="3" customWidth="1"/>
    <col min="4" max="4" width="26.140625" style="3" customWidth="1"/>
    <col min="5" max="5" width="31.00390625" style="3" customWidth="1"/>
    <col min="6" max="6" width="0.85546875" style="3" customWidth="1"/>
    <col min="7" max="7" width="9.8515625" style="3" customWidth="1"/>
    <col min="8" max="8" width="0.9921875" style="3" customWidth="1"/>
    <col min="9" max="9" width="9.57421875" style="3" customWidth="1"/>
    <col min="10" max="10" width="0.71875" style="3" customWidth="1"/>
    <col min="11" max="11" width="9.421875" style="3" customWidth="1"/>
    <col min="12" max="12" width="0.71875" style="3" customWidth="1"/>
    <col min="13" max="13" width="9.57421875" style="3" customWidth="1"/>
    <col min="14" max="14" width="0.71875" style="3" customWidth="1"/>
    <col min="15" max="15" width="10.421875" style="3" customWidth="1"/>
    <col min="16" max="16" width="0.71875" style="3" customWidth="1"/>
    <col min="17" max="17" width="9.7109375" style="3" customWidth="1"/>
    <col min="18" max="18" width="0.71875" style="3" customWidth="1"/>
    <col min="19" max="19" width="10.8515625" style="3" customWidth="1"/>
    <col min="20" max="20" width="10.00390625" style="3" customWidth="1"/>
    <col min="21" max="21" width="11.421875" style="3" customWidth="1"/>
    <col min="22" max="23" width="10.00390625" style="3" customWidth="1"/>
    <col min="24" max="24" width="10.00390625" style="3" hidden="1" customWidth="1"/>
    <col min="25" max="25" width="10.00390625" style="3" customWidth="1"/>
    <col min="26" max="26" width="9.140625" style="3" hidden="1" customWidth="1"/>
    <col min="27" max="27" width="9.140625" style="3" customWidth="1"/>
    <col min="28" max="28" width="7.8515625" style="3" customWidth="1"/>
    <col min="29" max="29" width="7.140625" style="761" customWidth="1"/>
    <col min="30" max="30" width="20.7109375" style="249" customWidth="1"/>
    <col min="31" max="31" width="13.8515625" style="3" customWidth="1"/>
    <col min="32" max="32" width="20.7109375" style="3" customWidth="1"/>
    <col min="33" max="33" width="8.421875" style="3" customWidth="1"/>
    <col min="34" max="34" width="10.140625" style="3" customWidth="1"/>
    <col min="35" max="35" width="0.71875" style="3" customWidth="1"/>
    <col min="36" max="36" width="10.140625" style="3" customWidth="1"/>
    <col min="37" max="37" width="0.71875" style="3" customWidth="1"/>
    <col min="38" max="38" width="10.140625" style="3" customWidth="1"/>
    <col min="39" max="39" width="0.71875" style="3" customWidth="1"/>
    <col min="40" max="40" width="10.140625" style="3" customWidth="1"/>
    <col min="41" max="41" width="0.71875" style="3" customWidth="1"/>
    <col min="42" max="42" width="10.140625" style="3" customWidth="1"/>
    <col min="43" max="43" width="0.71875" style="3" customWidth="1"/>
    <col min="44" max="44" width="10.140625" style="3" customWidth="1"/>
    <col min="45" max="45" width="0.71875" style="3" customWidth="1"/>
    <col min="46" max="46" width="10.00390625" style="3" customWidth="1"/>
    <col min="47" max="47" width="9.421875" style="3" hidden="1" customWidth="1"/>
    <col min="48" max="48" width="8.8515625" style="52" customWidth="1"/>
    <col min="49" max="66" width="9.140625" style="52" customWidth="1"/>
    <col min="67" max="16384" width="9.140625" style="3" customWidth="1"/>
  </cols>
  <sheetData>
    <row r="1" spans="1:47" ht="34.5" customHeight="1">
      <c r="A1" s="898" t="str">
        <f>IF(AU1&lt;&gt;0,"ERRORS/WARNINGS ARE PRESENT","NO ERRORS/WARNINGS")</f>
        <v>NO ERRORS/WARNINGS</v>
      </c>
      <c r="B1" s="898"/>
      <c r="C1" s="898"/>
      <c r="D1" s="898"/>
      <c r="H1" s="604" t="s">
        <v>602</v>
      </c>
      <c r="AU1" s="605">
        <f>SUM(AU2:AU80)</f>
        <v>0</v>
      </c>
    </row>
    <row r="2" spans="1:47" ht="34.5" customHeight="1" thickBot="1">
      <c r="A2" s="922" t="s">
        <v>669</v>
      </c>
      <c r="B2" s="922"/>
      <c r="C2" s="922"/>
      <c r="D2" s="922"/>
      <c r="H2" s="51"/>
      <c r="AU2" s="256"/>
    </row>
    <row r="3" spans="1:46" ht="13.5" thickBot="1">
      <c r="A3" s="894" t="s">
        <v>802</v>
      </c>
      <c r="B3" s="895"/>
      <c r="C3" s="895"/>
      <c r="D3" s="895"/>
      <c r="E3" s="895"/>
      <c r="F3" s="895"/>
      <c r="G3" s="895"/>
      <c r="H3" s="895"/>
      <c r="I3" s="895"/>
      <c r="J3" s="899" t="s">
        <v>670</v>
      </c>
      <c r="K3" s="899"/>
      <c r="L3" s="899"/>
      <c r="M3" s="899"/>
      <c r="N3" s="899"/>
      <c r="O3" s="899"/>
      <c r="P3" s="899"/>
      <c r="Q3" s="899"/>
      <c r="R3" s="899"/>
      <c r="S3" s="900"/>
      <c r="T3" s="606"/>
      <c r="U3" s="606"/>
      <c r="V3" s="606"/>
      <c r="W3" s="606"/>
      <c r="X3" s="606"/>
      <c r="Y3" s="606"/>
      <c r="AB3" s="924" t="str">
        <f>A3</f>
        <v>Children, Schools and Families Financial Data Collection</v>
      </c>
      <c r="AC3" s="925"/>
      <c r="AD3" s="925"/>
      <c r="AE3" s="925"/>
      <c r="AF3" s="925"/>
      <c r="AG3" s="925"/>
      <c r="AH3" s="925"/>
      <c r="AI3" s="925"/>
      <c r="AJ3" s="925"/>
      <c r="AK3" s="947" t="str">
        <f>J3</f>
        <v>Table 1 - Local Authority Information</v>
      </c>
      <c r="AL3" s="947"/>
      <c r="AM3" s="947"/>
      <c r="AN3" s="947"/>
      <c r="AO3" s="947"/>
      <c r="AP3" s="947"/>
      <c r="AQ3" s="947"/>
      <c r="AR3" s="947"/>
      <c r="AS3" s="947"/>
      <c r="AT3" s="948"/>
    </row>
    <row r="4" ht="13.5" thickBot="1"/>
    <row r="5" spans="1:47" ht="34.5" customHeight="1" thickBot="1">
      <c r="A5" s="493" t="s">
        <v>804</v>
      </c>
      <c r="B5" s="915" t="s">
        <v>805</v>
      </c>
      <c r="C5" s="916"/>
      <c r="D5" s="494" t="s">
        <v>806</v>
      </c>
      <c r="E5" s="918" t="s">
        <v>807</v>
      </c>
      <c r="F5" s="919"/>
      <c r="G5" s="920"/>
      <c r="H5" s="929" t="s">
        <v>808</v>
      </c>
      <c r="I5" s="909"/>
      <c r="J5" s="910"/>
      <c r="K5" s="915">
        <v>334</v>
      </c>
      <c r="L5" s="916"/>
      <c r="M5" s="905" t="s">
        <v>809</v>
      </c>
      <c r="N5" s="905"/>
      <c r="O5" s="905"/>
      <c r="P5" s="912"/>
      <c r="Q5" s="913"/>
      <c r="R5" s="913"/>
      <c r="S5" s="913"/>
      <c r="T5" s="764"/>
      <c r="U5" s="764"/>
      <c r="V5" s="764"/>
      <c r="W5" s="764"/>
      <c r="X5" s="764"/>
      <c r="Y5" s="764"/>
      <c r="AB5" s="611" t="str">
        <f>A5</f>
        <v>Year</v>
      </c>
      <c r="AC5" s="896" t="str">
        <f>B5</f>
        <v>2010-11</v>
      </c>
      <c r="AD5" s="896"/>
      <c r="AE5" s="765" t="str">
        <f>D5</f>
        <v>Local Authority Name</v>
      </c>
      <c r="AF5" s="887"/>
      <c r="AG5" s="888"/>
      <c r="AH5" s="889"/>
      <c r="AI5" s="890" t="str">
        <f>H5</f>
        <v>Local Authority Number</v>
      </c>
      <c r="AJ5" s="890"/>
      <c r="AK5" s="890"/>
      <c r="AL5" s="892"/>
      <c r="AM5" s="892"/>
      <c r="AN5" s="890" t="str">
        <f>M5</f>
        <v>Email Address</v>
      </c>
      <c r="AO5" s="890"/>
      <c r="AP5" s="890"/>
      <c r="AQ5" s="891"/>
      <c r="AR5" s="891"/>
      <c r="AS5" s="891"/>
      <c r="AT5" s="891"/>
      <c r="AU5" s="605">
        <f>IF(LEN(TRIM(AQ5))&gt;0,1,0)</f>
        <v>0</v>
      </c>
    </row>
    <row r="6" spans="1:47" ht="13.5" customHeight="1" thickBot="1">
      <c r="A6" s="496" t="s">
        <v>810</v>
      </c>
      <c r="B6" s="917"/>
      <c r="C6" s="917"/>
      <c r="D6" s="496" t="s">
        <v>811</v>
      </c>
      <c r="E6" s="926"/>
      <c r="F6" s="927"/>
      <c r="G6" s="928"/>
      <c r="H6" s="914" t="s">
        <v>813</v>
      </c>
      <c r="I6" s="914"/>
      <c r="J6" s="914"/>
      <c r="K6" s="903">
        <v>4</v>
      </c>
      <c r="L6" s="904"/>
      <c r="M6" s="914" t="s">
        <v>814</v>
      </c>
      <c r="N6" s="914"/>
      <c r="O6" s="914"/>
      <c r="P6" s="911" t="s">
        <v>442</v>
      </c>
      <c r="Q6" s="911"/>
      <c r="R6" s="911"/>
      <c r="S6" s="911"/>
      <c r="T6" s="766"/>
      <c r="U6" s="638"/>
      <c r="V6" s="202"/>
      <c r="W6" s="767"/>
      <c r="X6" s="634"/>
      <c r="Y6" s="634"/>
      <c r="Z6" s="768"/>
      <c r="AB6" s="618" t="str">
        <f>A6</f>
        <v>Contact</v>
      </c>
      <c r="AC6" s="897"/>
      <c r="AD6" s="897"/>
      <c r="AE6" s="622" t="str">
        <f>D6</f>
        <v>Tel No.</v>
      </c>
      <c r="AF6" s="897"/>
      <c r="AG6" s="897"/>
      <c r="AH6" s="897"/>
      <c r="AI6" s="893" t="str">
        <f>H6</f>
        <v>Version No.</v>
      </c>
      <c r="AJ6" s="893"/>
      <c r="AK6" s="893"/>
      <c r="AL6" s="897">
        <f>IF(AND(K6="",$H$1&lt;&gt;"*"),"",IF(AND(K6="",$H$1="*"),"Warning H1",IF(AND(K6&lt;&gt;"",ISNUMBER(VALUE(K6))=FALSE),"Warning H1",IF(K6-INT(K6)&lt;&gt;0,"Warning H1",IF(K6&lt;1,"Warning H1","")))))</f>
      </c>
      <c r="AM6" s="897"/>
      <c r="AN6" s="893" t="str">
        <f>M6</f>
        <v>Completion Date</v>
      </c>
      <c r="AO6" s="893"/>
      <c r="AP6" s="893"/>
      <c r="AQ6" s="897">
        <f ca="1">IF(AND(P6="",$H$1&lt;&gt;"*"),"",IF(AND(P6="",$H$1="*"),"Warning H2",IF(ISERROR(DATEVALUE(P6)),"Warning H2",IF(DATEVALUE(P6)&gt;TODAY(),"Warning H2",""))))</f>
      </c>
      <c r="AR6" s="897"/>
      <c r="AS6" s="897"/>
      <c r="AT6" s="897"/>
      <c r="AU6" s="605">
        <f>IF(LEN(TRIM(AC6&amp;AF6&amp;AL6&amp;AQ6))&gt;0,1,0)</f>
        <v>0</v>
      </c>
    </row>
    <row r="7" spans="21:26" ht="23.25" customHeight="1">
      <c r="U7" s="930"/>
      <c r="V7" s="931"/>
      <c r="W7" s="930"/>
      <c r="X7" s="930"/>
      <c r="Y7" s="930"/>
      <c r="Z7" s="769"/>
    </row>
    <row r="8" spans="21:26" ht="12.75">
      <c r="U8" s="930"/>
      <c r="V8" s="921"/>
      <c r="W8" s="932"/>
      <c r="X8" s="770"/>
      <c r="Y8" s="932"/>
      <c r="Z8" s="693"/>
    </row>
    <row r="9" spans="7:46" ht="12.75" customHeight="1">
      <c r="G9" s="771" t="s">
        <v>85</v>
      </c>
      <c r="I9" s="771" t="s">
        <v>164</v>
      </c>
      <c r="K9" s="771" t="s">
        <v>109</v>
      </c>
      <c r="M9" s="771" t="s">
        <v>311</v>
      </c>
      <c r="O9" s="771" t="s">
        <v>671</v>
      </c>
      <c r="Q9" s="771" t="s">
        <v>672</v>
      </c>
      <c r="S9" s="771" t="s">
        <v>673</v>
      </c>
      <c r="T9" s="771"/>
      <c r="U9" s="930"/>
      <c r="V9" s="921"/>
      <c r="W9" s="933"/>
      <c r="X9" s="932"/>
      <c r="Y9" s="934"/>
      <c r="Z9" s="885" t="s">
        <v>674</v>
      </c>
      <c r="AH9" s="771" t="str">
        <f>G9</f>
        <v>Nursery</v>
      </c>
      <c r="AJ9" s="771" t="str">
        <f>I9</f>
        <v>Primary</v>
      </c>
      <c r="AL9" s="771" t="str">
        <f>K9</f>
        <v>Secondary</v>
      </c>
      <c r="AN9" s="771" t="str">
        <f>M9</f>
        <v>Special</v>
      </c>
      <c r="AP9" s="771" t="str">
        <f>O9</f>
        <v>Gross</v>
      </c>
      <c r="AR9" s="771" t="str">
        <f>Q9</f>
        <v>Income</v>
      </c>
      <c r="AT9" s="771" t="str">
        <f>S9</f>
        <v>Net</v>
      </c>
    </row>
    <row r="10" spans="2:46" ht="12.75">
      <c r="B10" s="772">
        <v>1</v>
      </c>
      <c r="C10" s="943" t="s">
        <v>675</v>
      </c>
      <c r="D10" s="943"/>
      <c r="E10" s="943"/>
      <c r="G10" s="771" t="s">
        <v>676</v>
      </c>
      <c r="I10" s="771" t="s">
        <v>677</v>
      </c>
      <c r="K10" s="771" t="s">
        <v>678</v>
      </c>
      <c r="M10" s="771" t="s">
        <v>679</v>
      </c>
      <c r="O10" s="771" t="s">
        <v>680</v>
      </c>
      <c r="Q10" s="771" t="s">
        <v>681</v>
      </c>
      <c r="S10" s="771" t="s">
        <v>682</v>
      </c>
      <c r="T10" s="771"/>
      <c r="U10" s="930"/>
      <c r="V10" s="921"/>
      <c r="W10" s="933"/>
      <c r="X10" s="932"/>
      <c r="Y10" s="934"/>
      <c r="Z10" s="886"/>
      <c r="AC10" s="761">
        <f>B10</f>
        <v>1</v>
      </c>
      <c r="AD10" s="943" t="str">
        <f>C10</f>
        <v>SCHOOLS BUDGET</v>
      </c>
      <c r="AE10" s="943"/>
      <c r="AF10" s="943"/>
      <c r="AH10" s="771" t="str">
        <f>G10</f>
        <v>(a)</v>
      </c>
      <c r="AJ10" s="771" t="str">
        <f>I10</f>
        <v>(b)</v>
      </c>
      <c r="AL10" s="771" t="str">
        <f>K10</f>
        <v>(c)</v>
      </c>
      <c r="AN10" s="771" t="str">
        <f>M10</f>
        <v>(d)</v>
      </c>
      <c r="AP10" s="771" t="str">
        <f>O10</f>
        <v>(e)</v>
      </c>
      <c r="AR10" s="771" t="str">
        <f>Q10</f>
        <v>(f)</v>
      </c>
      <c r="AT10" s="771" t="str">
        <f>S10</f>
        <v>(g)</v>
      </c>
    </row>
    <row r="11" spans="2:25" ht="12.75">
      <c r="B11" s="36"/>
      <c r="C11" s="36"/>
      <c r="D11" s="36"/>
      <c r="E11" s="36"/>
      <c r="U11" s="930"/>
      <c r="V11" s="921"/>
      <c r="W11" s="933"/>
      <c r="X11" s="52"/>
      <c r="Y11" s="934"/>
    </row>
    <row r="12" spans="2:47" ht="12.75">
      <c r="B12" s="773" t="s">
        <v>683</v>
      </c>
      <c r="C12" s="949" t="s">
        <v>684</v>
      </c>
      <c r="D12" s="949"/>
      <c r="E12" s="949"/>
      <c r="F12" s="670"/>
      <c r="G12" s="649">
        <v>0</v>
      </c>
      <c r="I12" s="649">
        <f>+'Table 3a'!BY94</f>
        <v>57397086.85999998</v>
      </c>
      <c r="K12" s="649">
        <f>+'Table 3a'!BY119+'Table 3a'!AU128</f>
        <v>57645803.88999999</v>
      </c>
      <c r="M12" s="649">
        <f>+'Table 3b'!AI24</f>
        <v>6870486.0768</v>
      </c>
      <c r="O12" s="646">
        <f aca="true" t="shared" si="0" ref="O12:O20">SUM(G12:M12)</f>
        <v>121913376.82679997</v>
      </c>
      <c r="Q12" s="778"/>
      <c r="S12" s="646">
        <f aca="true" t="shared" si="1" ref="S12:S20">IF(ISERROR(O12-Q12),0,O12-Q12)</f>
        <v>121913376.82679997</v>
      </c>
      <c r="T12" s="657"/>
      <c r="U12" s="657"/>
      <c r="V12" s="779"/>
      <c r="W12" s="658"/>
      <c r="X12" s="780"/>
      <c r="Y12" s="658"/>
      <c r="Z12" s="781">
        <v>0</v>
      </c>
      <c r="AC12" s="761" t="str">
        <f aca="true" t="shared" si="2" ref="AC12:AC20">B12</f>
        <v>1.0.1</v>
      </c>
      <c r="AD12" s="950" t="str">
        <f aca="true" t="shared" si="3" ref="AD12:AD20">C12</f>
        <v>Individual Schools Budget</v>
      </c>
      <c r="AE12" s="950"/>
      <c r="AF12" s="950"/>
      <c r="AH12" s="660">
        <f>IF(AND(G12="",$H$1&lt;&gt;"*"),"",IF(AND(G12="",$H$1="*"),"Error 1.1",IF(ISNUMBER(G12)=FALSE,"Error 1.2",IF(G12&lt;0,"Error 1.3",IF(ABS(G12+1000)&lt;'Table 2'!Q22,"Error 4.1.1","")))))</f>
      </c>
      <c r="AJ12" s="660">
        <f>IF(AND(I12="",$H$1&lt;&gt;"*"),"",IF(AND(I12="",$H$1="*"),"Error 1.1",IF(ISNUMBER(I12)=FALSE,"Error 1.2",IF(AND($K$5&lt;&gt;201,$K$5&lt;&gt;420,I12&lt;=0),"Error 1.4",IF(AND(OR($K$5=201,$K$5=420),I12&lt;0),"Error 1.3",IF(ABS(I12+1000&lt;'Table 2'!Q96),"Error 4.1.2",""))))))</f>
      </c>
      <c r="AL12" s="660">
        <f>IF(AND(K12="",$H$1&lt;&gt;"*"),"",IF(AND(K12="",$H$1="*"),"Error 1.1",IF(ISNUMBER(K12)=FALSE,"Error 1.2",IF(AND($K$5&lt;&gt;201,$K$5&lt;&gt;420,K12&lt;=0),"Error 1.4",IF(AND(OR($K$5=201,$K$5=420),K12&lt;0),"Error 1.3",IF(ABS(K12+1000)&lt;('Table 2'!Q115),"Error 4.1.3",""))))))</f>
      </c>
      <c r="AN12" s="660">
        <f>IF(AND(M12="",$H$1&lt;&gt;"*"),"",IF(AND(M12="",$H$1="*"),"Error 1.1",IF(ISNUMBER(M12)=FALSE,"Error 1.2",IF(AND($K$5&lt;&gt;201,$K$5&lt;&gt;420,M12&lt;=0),"Error 1.4",IF(AND(OR($K$5=201,$K$5=420),M12&lt;0),"Error 1.3",IF(ABS(M12+1000)&lt;('Table 2'!Q133),"Error 4.1.4",""))))))</f>
      </c>
      <c r="AO12" s="663"/>
      <c r="AP12" s="660">
        <f>IF(AND(O12="",$H$1&lt;&gt;"*"),"",IF(AND(O12="",$H$1="*"),"Error 1.1",IF(ISNUMBER(O12)=FALSE,"Error 1.2",IF(ABS(O12-'Table 2'!Q141)&gt;1000,"Error 4.1",""))))</f>
      </c>
      <c r="AR12" s="778"/>
      <c r="AT12" s="660">
        <f>IF(AND(S12="",$H$1&lt;&gt;"*"),"",IF(AND(S12="",$H$1="*"),"Error 1.1",IF(ISNUMBER(S12)=FALSE,"Error 1.2",IF(S12&lt;=0,"Error 1.4",""))))</f>
      </c>
      <c r="AU12" s="605">
        <f aca="true" t="shared" si="4" ref="AU12:AU20">IF(LEN(TRIM(AH12&amp;AJ12&amp;AL12&amp;AN12&amp;AP12&amp;AR12&amp;AT12))&gt;0,1,0)</f>
        <v>0</v>
      </c>
    </row>
    <row r="13" spans="2:47" ht="12.75" customHeight="1">
      <c r="B13" s="782" t="s">
        <v>685</v>
      </c>
      <c r="C13" s="949" t="s">
        <v>686</v>
      </c>
      <c r="D13" s="949"/>
      <c r="E13" s="949"/>
      <c r="F13" s="670"/>
      <c r="G13" s="649">
        <f>'Table 2'!U22</f>
        <v>0</v>
      </c>
      <c r="I13" s="649">
        <f>'Table 2'!U96</f>
        <v>3088311.2666105744</v>
      </c>
      <c r="K13" s="649">
        <f>'Table 2'!U115</f>
        <v>2000641.1827900715</v>
      </c>
      <c r="M13" s="649">
        <f>'Table 2'!U133</f>
        <v>206988.27074876789</v>
      </c>
      <c r="O13" s="646">
        <f t="shared" si="0"/>
        <v>5295940.720149414</v>
      </c>
      <c r="Q13" s="649">
        <f aca="true" t="shared" si="5" ref="Q13:Q18">+O13</f>
        <v>5295940.720149414</v>
      </c>
      <c r="S13" s="646">
        <f t="shared" si="1"/>
        <v>0</v>
      </c>
      <c r="T13" s="657"/>
      <c r="U13" s="657"/>
      <c r="V13" s="657"/>
      <c r="W13" s="657"/>
      <c r="X13" s="657"/>
      <c r="Y13" s="657"/>
      <c r="AC13" s="761" t="str">
        <f t="shared" si="2"/>
        <v>1.0.2</v>
      </c>
      <c r="AD13" s="950" t="str">
        <f t="shared" si="3"/>
        <v>School Standards Grant - Maintained Schools</v>
      </c>
      <c r="AE13" s="950"/>
      <c r="AF13" s="950"/>
      <c r="AH13" s="660">
        <f>IF(AND(G13="",$H$1&lt;&gt;"*"),"",IF(AND(G13="",$H$1="*"),"Error 1.1",IF(ISNUMBER(G13)=FALSE,"Error 1.2",IF(G13&lt;0,"Error 1.3",IF(ABS(G13-'Table 2'!U22)&gt;1000,"Error 4.2.1","")))))</f>
      </c>
      <c r="AJ13" s="660">
        <f>IF(AND(I13="",$H$1&lt;&gt;"*"),"",IF(AND(I13="",$H$1="*"),"Error 1.1",IF(ISNUMBER(I13)=FALSE,"Error 1.2",IF(AND($K$5&lt;&gt;201,$K$5&lt;&gt;420,I13&lt;=0),"Error 1.4",IF(AND(OR($K$5=201,$K$5=420),I13&lt;0),"Error 1.3",IF(ABS(I13-'Table 2'!U96)&gt;1000,"Error 4.2.2",""))))))</f>
      </c>
      <c r="AL13" s="660">
        <f>IF(AND(K13="",$H$1&lt;&gt;"*"),"",IF(AND(K13="",$H$1="*"),"Error 1.1",IF(ISNUMBER(K13)=FALSE,"Error 1.2",IF(AND($K$5&lt;&gt;201,$K$5&lt;&gt;420,K13&lt;=0),"Error 1.4",IF(AND(OR($K$5=201,$K$5=420),K13&lt;=0),"Error 1.4",IF(ABS(K13-'Table 2'!U115)&gt;1000,"Error 4.2.3",""))))))</f>
      </c>
      <c r="AN13" s="660">
        <f>IF(AND(M13="",$H$1&lt;&gt;"*"),"",IF(AND(M13="",$H$1="*"),"Error 1.1",IF(ISNUMBER(M13)=FALSE,"Error 1.2",IF(AND($K$5&lt;&gt;201,$K$5&lt;&gt;420,M13&lt;=0),"Error 1.4",IF(AND(OR($K$5=201,$K$5=420),M13&lt;=0),"Error 1.4",IF(ABS(M13-'Table 2'!U133)&gt;1000,"Error 4.2.4",""))))))</f>
      </c>
      <c r="AP13" s="660">
        <f>IF(AND(O13="",$H$1&lt;&gt;"*"),"",IF(AND(O13="",$H$1="*"),"Error 1.1",IF(ISNUMBER(O13)=FALSE,"Error 1.2",IF(ABS(O13-'Table 2'!U135)&gt;1000,"Error 4.2",""))))</f>
      </c>
      <c r="AR13" s="660">
        <f>IF(AND(Q13="",$H$1&lt;&gt;"*"),"",IF(AND(Q13="",$H$1="*"),"Error 1.1",IF(ISNUMBER(Q13)=FALSE,"Error 1.2",IF(Q13&lt;=0,"Error 1.4",""))))</f>
      </c>
      <c r="AT13" s="660">
        <f>IF(AND(S13="",$H$1&lt;&gt;"*"),"",IF(AND(S13="",$H$1="*"),"Error 1.1",IF(ISNUMBER(S13)=FALSE,"Error 1.2",IF(S13&lt;0,"Error 1.3",IF(S13&lt;&gt;0,"Warning 2.3","")))))</f>
      </c>
      <c r="AU13" s="605">
        <f t="shared" si="4"/>
        <v>0</v>
      </c>
    </row>
    <row r="14" spans="2:47" ht="12.75">
      <c r="B14" s="782" t="s">
        <v>687</v>
      </c>
      <c r="C14" s="949" t="s">
        <v>688</v>
      </c>
      <c r="D14" s="949"/>
      <c r="E14" s="949"/>
      <c r="F14" s="670"/>
      <c r="G14" s="649">
        <v>0</v>
      </c>
      <c r="I14" s="649">
        <v>5489</v>
      </c>
      <c r="K14" s="649">
        <v>80651.96868026307</v>
      </c>
      <c r="M14" s="649">
        <v>0</v>
      </c>
      <c r="O14" s="646">
        <f t="shared" si="0"/>
        <v>86140.96868026307</v>
      </c>
      <c r="Q14" s="649">
        <f t="shared" si="5"/>
        <v>86140.96868026307</v>
      </c>
      <c r="S14" s="646">
        <f t="shared" si="1"/>
        <v>0</v>
      </c>
      <c r="T14" s="657"/>
      <c r="U14" s="657"/>
      <c r="V14" s="657"/>
      <c r="W14" s="657"/>
      <c r="X14" s="657"/>
      <c r="Y14" s="657"/>
      <c r="AC14" s="761" t="str">
        <f t="shared" si="2"/>
        <v>1.0.3</v>
      </c>
      <c r="AD14" s="950" t="str">
        <f t="shared" si="3"/>
        <v>School Standards Grant - Pupil Referral Units</v>
      </c>
      <c r="AE14" s="950"/>
      <c r="AF14" s="950"/>
      <c r="AH14" s="660">
        <f>IF(AND(G14="",$H$1&lt;&gt;"*"),"",IF(AND(G14="",$H$1="*"),"Error 1.1",IF(ISNUMBER(G14)=FALSE,"Error 1.2",IF(G14&lt;0,"Error 1.3",""))))</f>
      </c>
      <c r="AJ14" s="660">
        <f>IF(AND(I14="",$H$1&lt;&gt;"*"),"",IF(AND(I14="",$H$1="*"),"Error 1.1",IF(ISNUMBER(I14)=FALSE,"Error 1.2",IF(AND($K$5&lt;&gt;201,$K$5&lt;&gt;420,I14&lt;0),"Error 1.3",""))))</f>
      </c>
      <c r="AL14" s="660">
        <f>IF(AND(K14="",$H$1&lt;&gt;"*"),"",IF(AND(K14="",$H$1="*"),"Error 1.1",IF(ISNUMBER(K14)=FALSE,"Error 1.2",IF(AND($K$5&lt;&gt;201,$K$5&lt;&gt;420,K14&lt;0),"Error 1.3",""))))</f>
      </c>
      <c r="AN14" s="660">
        <f>IF(AND(M14="",$H$1&lt;&gt;"*"),"",IF(AND(M14="",$H$1="*"),"Error 1.1",IF(ISNUMBER(M14)=FALSE,"Error 1.2",IF(AND($K$5&lt;&gt;201,$K$5&lt;&gt;420,M14&lt;0),"Error 1.3",""))))</f>
      </c>
      <c r="AP14" s="660">
        <f>IF(AND(O14="",$H$1&lt;&gt;"*"),"",IF(AND(O14="",$H$1="*"),"Error 1.1",IF(ISNUMBER(O14)=FALSE,"Error 1.2","")))</f>
      </c>
      <c r="AR14" s="660">
        <f>IF(AND(Q14="",$H$1&lt;&gt;"*"),"",IF(AND(Q14="",$H$1="*"),"Error 1.1",IF(ISNUMBER(Q14)=FALSE,"Error 1.2",IF(AND(Q14&lt;0),"Error 1.3",""))))</f>
      </c>
      <c r="AT14" s="660">
        <f>IF(AND(S14="",$H$1&lt;&gt;"*"),"",IF(AND(S14="",$H$1="*"),"Error 1.1",IF(ISNUMBER(S14)=FALSE,"Error 1.2",IF(S14&lt;0,"Error 1.3",IF(S14&lt;&gt;0,"Warning 2.3","")))))</f>
      </c>
      <c r="AU14" s="605">
        <f t="shared" si="4"/>
        <v>0</v>
      </c>
    </row>
    <row r="15" spans="2:47" ht="12.75">
      <c r="B15" s="783" t="s">
        <v>689</v>
      </c>
      <c r="C15" s="949" t="s">
        <v>690</v>
      </c>
      <c r="D15" s="949"/>
      <c r="E15" s="949"/>
      <c r="F15" s="670"/>
      <c r="G15" s="778"/>
      <c r="I15" s="649">
        <f>'Table 2'!V96</f>
        <v>371466</v>
      </c>
      <c r="K15" s="649">
        <f>'Table 2'!V115</f>
        <v>954770</v>
      </c>
      <c r="M15" s="649">
        <f>'Table 2'!V133</f>
        <v>27453</v>
      </c>
      <c r="O15" s="646">
        <f t="shared" si="0"/>
        <v>1353689</v>
      </c>
      <c r="Q15" s="649">
        <f t="shared" si="5"/>
        <v>1353689</v>
      </c>
      <c r="S15" s="646">
        <f t="shared" si="1"/>
        <v>0</v>
      </c>
      <c r="T15" s="657"/>
      <c r="U15" s="657"/>
      <c r="V15" s="657"/>
      <c r="W15" s="657"/>
      <c r="X15" s="657"/>
      <c r="Y15" s="657"/>
      <c r="AC15" s="761" t="str">
        <f t="shared" si="2"/>
        <v>1.0.4</v>
      </c>
      <c r="AD15" s="950" t="str">
        <f t="shared" si="3"/>
        <v>School Standards Grant (Personalisation) - Maintained Schools </v>
      </c>
      <c r="AE15" s="950"/>
      <c r="AF15" s="950"/>
      <c r="AH15" s="778"/>
      <c r="AJ15" s="660">
        <f>IF(AND(I15="",$H$1&lt;&gt;"*"),"",IF(AND(I15="",$H$1="*"),"Error 1.1",IF(ISNUMBER(I15)=FALSE,"Error 1.2",IF(AND($K$5&lt;&gt;201,$K$5&lt;&gt;420,I15&lt;=0),"Error 1.4",IF(AND(OR($K$5=201,$K$5=420),I15&lt;0),"Error 1.3",IF(ABS(I15-'Table 2'!V96)&gt;1000,"Error 4.3.1",""))))))</f>
      </c>
      <c r="AL15" s="660">
        <f>IF(AND(K15="",$H$1&lt;&gt;"*"),"",IF(AND(K15="",$H$1="*"),"Error 1.1",IF(ISNUMBER(K15)=FALSE,"Error 1.2",IF(AND($K$5&lt;&gt;201,$K$5&lt;&gt;420,K15&lt;=0),"Error 1.4",IF(AND(OR($K$5=201,$K$5=420),K15&lt;0),"Error 1.3",IF(ABS(K15-'Table 2'!V115)&gt;1000,"Error 4.3.2",""))))))</f>
      </c>
      <c r="AN15" s="660">
        <f>IF(AND(M15="",$H$1&lt;&gt;"*"),"",IF(AND(M15="",$H$1="*"),"Error 1.1",IF(ISNUMBER(M15)=FALSE,"Error 1.2",IF(AND($K$5&lt;&gt;201,$K$5&lt;&gt;420,M15&lt;=0),"Error 1.4",IF(AND(OR($K$5=201,$K$5=420),M15&lt;0),"Error 1.3",IF(ABS(M15-'Table 2'!V133)&gt;1000,"Error 4.3.3",""))))))</f>
      </c>
      <c r="AP15" s="660">
        <f>IF(AND(O15="",$H$1&lt;&gt;"*"),"",IF(AND(O15="",$H$1="*"),"Error 1.1",IF(ISNUMBER(O15)=FALSE,"Error 1.2",IF(ABS(O15-'Table 2'!V135)&gt;1000,"Error 4.3",""))))</f>
      </c>
      <c r="AR15" s="660">
        <f>IF(AND(Q15="",$H$1&lt;&gt;"*"),"",IF(AND(Q15="",$H$1="*"),"Error 1.1",IF(ISNUMBER(Q15)=FALSE,"Error 1.2",IF(Q15&lt;=0,"Error 1.4",""))))</f>
      </c>
      <c r="AS15" s="15"/>
      <c r="AT15" s="660">
        <f>IF(AND(S15="",$H$1&lt;&gt;"*"),"",IF(AND(S15="",$H$1="*"),"Error 1.1",IF(ISNUMBER(S15)=FALSE,"Error 1.2",IF(S15&lt;0,"Error 1.3",IF(S15&lt;&gt;0,"Warning 2.3","")))))</f>
      </c>
      <c r="AU15" s="605">
        <f t="shared" si="4"/>
        <v>0</v>
      </c>
    </row>
    <row r="16" spans="2:47" ht="12.75">
      <c r="B16" s="783" t="s">
        <v>691</v>
      </c>
      <c r="C16" s="949" t="s">
        <v>692</v>
      </c>
      <c r="D16" s="949"/>
      <c r="E16" s="949"/>
      <c r="F16" s="670"/>
      <c r="G16" s="778"/>
      <c r="I16" s="649">
        <v>461</v>
      </c>
      <c r="K16" s="649">
        <v>6775</v>
      </c>
      <c r="M16" s="649">
        <v>0</v>
      </c>
      <c r="O16" s="646">
        <f t="shared" si="0"/>
        <v>7236</v>
      </c>
      <c r="Q16" s="649">
        <f t="shared" si="5"/>
        <v>7236</v>
      </c>
      <c r="S16" s="646">
        <f t="shared" si="1"/>
        <v>0</v>
      </c>
      <c r="T16" s="657"/>
      <c r="U16" s="657"/>
      <c r="V16" s="657"/>
      <c r="W16" s="657"/>
      <c r="X16" s="657"/>
      <c r="Y16" s="657"/>
      <c r="AC16" s="761" t="str">
        <f t="shared" si="2"/>
        <v>1.0.5</v>
      </c>
      <c r="AD16" s="950" t="str">
        <f t="shared" si="3"/>
        <v>School Standards Grant (Personalisation) - Pupil Referral Units</v>
      </c>
      <c r="AE16" s="950"/>
      <c r="AF16" s="950"/>
      <c r="AH16" s="778"/>
      <c r="AJ16" s="660">
        <f>IF(AND(I16="",$H$1&lt;&gt;"*"),"",IF(AND(I16="",$H$1="*"),"Error 1.1",IF(ISNUMBER(I16)=FALSE,"Error 1.2",IF(I16&lt;0,"Error 1.3",""))))</f>
      </c>
      <c r="AK16" s="15"/>
      <c r="AL16" s="660">
        <f>IF(AND(K16="",$H$1&lt;&gt;"*"),"",IF(AND(K16="",$H$1="*"),"Error 1.1",IF(ISNUMBER(K16)=FALSE,"Error 1.2",IF(K16&lt;0,"Error 1.3",""))))</f>
      </c>
      <c r="AM16" s="15"/>
      <c r="AN16" s="660">
        <f>IF(AND(M16="",$H$1&lt;&gt;"*"),"",IF(AND(M16="",$H$1="*"),"Error 1.1",IF(ISNUMBER(M16)=FALSE,"Error 1.2",IF(M16&lt;0,"Error 1.3",""))))</f>
      </c>
      <c r="AP16" s="660">
        <f>IF(AND(O16="",$H$1&lt;&gt;"*"),"",IF(AND(O16="",$H$1="*"),"Error 1.1",IF(ISNUMBER(O16)=FALSE,"Error 1.2","")))</f>
      </c>
      <c r="AR16" s="660">
        <f>IF(AND(Q16="",$H$1&lt;&gt;"*"),"",IF(AND(Q16="",$H$1="*"),"Error 1.1",IF(ISNUMBER(Q16)=FALSE,"Error 1.2",IF(AND(Q16&lt;0),"Error 1.3",""))))</f>
      </c>
      <c r="AS16" s="15"/>
      <c r="AT16" s="660">
        <f>IF(AND(S16="",$H$1&lt;&gt;"*"),"",IF(AND(S16="",$H$1="*"),"Error 1.1",IF(ISNUMBER(S16)=FALSE,"Error 1.2",IF(S16&lt;0,"Error 1.3",IF(S16&lt;&gt;0,"Warning 2.3","")))))</f>
      </c>
      <c r="AU16" s="605">
        <f t="shared" si="4"/>
        <v>0</v>
      </c>
    </row>
    <row r="17" spans="2:47" ht="12.75">
      <c r="B17" s="783" t="s">
        <v>693</v>
      </c>
      <c r="C17" s="906" t="s">
        <v>694</v>
      </c>
      <c r="D17" s="906"/>
      <c r="E17" s="906"/>
      <c r="F17" s="670"/>
      <c r="G17" s="649">
        <v>0</v>
      </c>
      <c r="I17" s="649">
        <v>3166891</v>
      </c>
      <c r="K17" s="649">
        <v>4546697</v>
      </c>
      <c r="M17" s="649">
        <v>195824</v>
      </c>
      <c r="O17" s="646">
        <f t="shared" si="0"/>
        <v>7909412</v>
      </c>
      <c r="Q17" s="649">
        <f t="shared" si="5"/>
        <v>7909412</v>
      </c>
      <c r="S17" s="646">
        <f t="shared" si="1"/>
        <v>0</v>
      </c>
      <c r="T17" s="657"/>
      <c r="U17" s="657"/>
      <c r="V17" s="657"/>
      <c r="W17" s="657"/>
      <c r="X17" s="657"/>
      <c r="Y17" s="657"/>
      <c r="AC17" s="761" t="str">
        <f t="shared" si="2"/>
        <v>1.0.6</v>
      </c>
      <c r="AD17" s="950" t="str">
        <f t="shared" si="3"/>
        <v>School Development Grant</v>
      </c>
      <c r="AE17" s="950"/>
      <c r="AF17" s="950"/>
      <c r="AH17" s="660">
        <f>IF(AND(G17="",$H$1&lt;&gt;"*"),"",IF(AND(G17="",$H$1="*"),"Error 1.1",IF(ISNUMBER(G17)=FALSE,"Error 1.2",IF(G17&lt;0,"Error 1.3",IF(G17+1000&lt;('Table 2'!X22+'Table 2'!Y22),"Error 4.4.1","")))))</f>
      </c>
      <c r="AJ17" s="660">
        <f>IF(AND(I17="",$H$1&lt;&gt;"*"),"",IF(AND(I17="",$H$1="*"),"Error 1.1",IF(ISNUMBER(I17)=FALSE,"Error 1.2",IF(I17&lt;0,"Error 1.3",IF(I17+1000&lt;('Table 2'!X96+'Table 2'!Y96),"Error 4.4.2","")))))</f>
      </c>
      <c r="AL17" s="660">
        <f>IF(AND(K17="",$H$1&lt;&gt;"*"),"",IF(AND(K17="",$H$1="*"),"Error 1.1",IF(ISNUMBER(K17)=FALSE,"Error 1.2",IF(K17&lt;0,"Error 1.3",IF(K17+1000&lt;('Table 2'!X115+'Table 2'!Y115),"Error 4.4.3","")))))</f>
      </c>
      <c r="AN17" s="660">
        <f>IF(AND(M17="",$H$1&lt;&gt;"*"),"",IF(AND(M17="",$H$1="*"),"Error 1.1",IF(ISNUMBER(M17)=FALSE,"Error 1.2",IF(M17&lt;0,"Error 1.3",IF(M17+1000&lt;('Table 2'!X133+'Table 2'!Y133),"Error 4.4.4","")))))</f>
      </c>
      <c r="AP17" s="660">
        <f>IF(AND(O17="",$H$1&lt;&gt;"*"),"",IF(AND(O17="",$H$1="*"),"Error 1.1",IF(ISNUMBER(O17)=FALSE,"Error 1.2",IF(ABS(O17-('Table 2'!X148+'Table 2'!Y148))&gt;1000,"Error 4.4",""))))</f>
      </c>
      <c r="AR17" s="660">
        <f>IF(AND(Q17="",$H$1&lt;&gt;"*"),"",IF(AND(Q17="",$H$1="*"),"Error 1.1",IF(ISNUMBER(Q17)=FALSE,"Error 1.2",IF(Q17&lt;=0,"Error 1.4",""))))</f>
      </c>
      <c r="AT17" s="660">
        <f>IF(AND(S17="",$H$1&lt;&gt;"*"),"",IF(AND(S17="",$H$1="*"),"Error 1.1",IF(ISNUMBER(S17)=FALSE,"Error 1.2",IF(S17&lt;0,"Error 1.3",IF(S17&lt;&gt;0,"Warning 2.3","")))))</f>
      </c>
      <c r="AU17" s="605">
        <f t="shared" si="4"/>
        <v>0</v>
      </c>
    </row>
    <row r="18" spans="2:48" ht="12.75">
      <c r="B18" s="783" t="s">
        <v>695</v>
      </c>
      <c r="C18" s="949" t="s">
        <v>696</v>
      </c>
      <c r="D18" s="949"/>
      <c r="E18" s="949"/>
      <c r="F18" s="670"/>
      <c r="G18" s="649">
        <v>0</v>
      </c>
      <c r="I18" s="649">
        <v>980127</v>
      </c>
      <c r="K18" s="649">
        <v>189859.40961458185</v>
      </c>
      <c r="M18" s="649">
        <v>9785</v>
      </c>
      <c r="O18" s="646">
        <f t="shared" si="0"/>
        <v>1179771.4096145818</v>
      </c>
      <c r="Q18" s="649">
        <f t="shared" si="5"/>
        <v>1179771.4096145818</v>
      </c>
      <c r="S18" s="646">
        <f t="shared" si="1"/>
        <v>0</v>
      </c>
      <c r="T18" s="657"/>
      <c r="U18" s="657"/>
      <c r="V18" s="657"/>
      <c r="W18" s="657"/>
      <c r="X18" s="657"/>
      <c r="Y18" s="657"/>
      <c r="AC18" s="761" t="str">
        <f t="shared" si="2"/>
        <v>1.0.7</v>
      </c>
      <c r="AD18" s="950" t="str">
        <f t="shared" si="3"/>
        <v>Other Standards Fund Allocation - Devolved</v>
      </c>
      <c r="AE18" s="950"/>
      <c r="AF18" s="950"/>
      <c r="AH18" s="660">
        <f>IF(AND(G18="",$H$1&lt;&gt;"*"),"",IF(AND(G18="",$H$1="*"),"Error 1.1",IF(ISNUMBER(G18)=FALSE,"Error 1.2",IF(G18&lt;0,"Error 1.3",IF(ABS(G18+1000)&lt;('Table 2'!Z22),"Error 4.5.1","")))))</f>
      </c>
      <c r="AJ18" s="660">
        <f>IF(AND(I18="",$H$1&lt;&gt;"*"),"",IF(AND(I18="",$H$1="*"),"Error 1.1",IF(ISNUMBER(I18)=FALSE,"Error 1.2",IF(AND($K$5&lt;&gt;201,$K$5&lt;&gt;420,I18&lt;=0),"Error 1.4",IF(AND(OR($K$5=201,$K$5=420),I18&lt;0),"Error 1.3",IF(ABS(I18+1000)&lt;'Table 2'!Z96,"Error 4.5.2",""))))))</f>
      </c>
      <c r="AL18" s="660">
        <f>IF(AND(K18="",$H$1&lt;&gt;"*"),"",IF(AND(K18="",$H$1="*"),"Error 1.1",IF(ISNUMBER(K18)=FALSE,"Error 1.2",IF(AND($K$5&lt;&gt;201,$K$5&lt;&gt;420,K18&lt;=0),"Error 1.4",IF(AND(OR($K$5=201,$K$5=420),K18&lt;0),"Error 1.3",IF(ABS(K18+1000)&lt;('Table 2'!Z115),"Error 4.5.3",""))))))</f>
      </c>
      <c r="AN18" s="660">
        <f>IF(AND(M18="",$H$1&lt;&gt;"*"),"",IF(AND(M18="",$H$1="*"),"Error 1.1",IF(ISNUMBER(M18)=FALSE,"Error 1.2",IF(AND($K$5&lt;&gt;201,$K$5&lt;&gt;420,M18&lt;=0),"Error 1.4",IF(AND(OR($K$5=201,$K$5=420),M18&lt;0),"Error 1.3",IF(ABS(M18+1000)&lt;('Table 2'!Z133),"Error 4.5.4",""))))))</f>
      </c>
      <c r="AP18" s="660">
        <f>IF(AND(O18="",$H$1&lt;&gt;"*"),"",IF(AND(O18="",$H$1="*"),"Error 1.1",IF(ISNUMBER(O18)=FALSE,"Error 1.2",IF(ABS(O18-'Table 2'!Z148)&gt;1000,"Error 4.5",""))))</f>
      </c>
      <c r="AR18" s="660">
        <f>IF(AND(Q18="",$H$1&lt;&gt;"*"),"",IF(AND(Q18="",$H$1="*"),"Error 1.1",IF(ISNUMBER(Q18)=FALSE,"Error 1.2",IF(Q18&lt;=0,"Error 1.4",""))))</f>
      </c>
      <c r="AT18" s="660">
        <f>IF(AND(S18="",$H$1&lt;&gt;"*"),"",IF(AND(S18="",$H$1="*"),"Error 1.1",IF(ISNUMBER(S18)=FALSE,"Error 1.2",IF(S18&lt;0,"Error 1.3",""))))</f>
      </c>
      <c r="AU18" s="605">
        <f t="shared" si="4"/>
        <v>0</v>
      </c>
      <c r="AV18" s="784"/>
    </row>
    <row r="19" spans="2:47" ht="12.75">
      <c r="B19" s="783" t="s">
        <v>697</v>
      </c>
      <c r="C19" s="949" t="s">
        <v>698</v>
      </c>
      <c r="D19" s="949"/>
      <c r="E19" s="949"/>
      <c r="F19" s="670"/>
      <c r="G19" s="649">
        <v>0</v>
      </c>
      <c r="I19" s="649">
        <v>0</v>
      </c>
      <c r="K19" s="649">
        <v>0</v>
      </c>
      <c r="M19" s="649">
        <v>0</v>
      </c>
      <c r="O19" s="646">
        <f t="shared" si="0"/>
        <v>0</v>
      </c>
      <c r="Q19" s="778"/>
      <c r="S19" s="646">
        <f t="shared" si="1"/>
        <v>0</v>
      </c>
      <c r="T19" s="657"/>
      <c r="U19" s="657"/>
      <c r="V19" s="657"/>
      <c r="W19" s="657"/>
      <c r="X19" s="657"/>
      <c r="Y19" s="657"/>
      <c r="AC19" s="761" t="str">
        <f t="shared" si="2"/>
        <v>1.0.8</v>
      </c>
      <c r="AD19" s="950" t="str">
        <f t="shared" si="3"/>
        <v>Threshold and Performance Pay (Devolved)</v>
      </c>
      <c r="AE19" s="950"/>
      <c r="AF19" s="950"/>
      <c r="AH19" s="660">
        <f>IF(AND(G19="",$H$1&lt;&gt;"*"),"",IF(AND(G19="",$H$1="*"),"Error 1.1",IF(ISNUMBER(G19)=FALSE,"Error 1.2",IF(G19&lt;0,"Error 1.3",IF(ABS(G19+1000)&lt;('Table 2'!AA22),"Error 4.6.1","")))))</f>
      </c>
      <c r="AJ19" s="660">
        <f>IF(AND(I19="",$H$1&lt;&gt;"*"),"",IF(AND(I19="",$H$1="*"),"Error 1.1",IF(ISNUMBER(I19)=FALSE,"Error 1.2",IF(I19&lt;0,"Error 1.3",IF(ABS(I19+1000)&lt;('Table 2'!AA96),"Error 4.6.2","")))))</f>
      </c>
      <c r="AL19" s="660">
        <f>IF(AND(K19="",$H$1&lt;&gt;"*"),"",IF(AND(K19="",$H$1="*"),"Error 1.1",IF(ISNUMBER(K19)=FALSE,"Error 1.2",IF(K19&lt;0,"Error 1.3",IF(ABS(K19+1000)&lt;('Table 2'!AA115),"Error 4.6.3","")))))</f>
      </c>
      <c r="AN19" s="660">
        <f>IF(AND(M19="",$H$1&lt;&gt;"*"),"",IF(AND(M19="",$H$1="*"),"Error 1.1",IF(ISNUMBER(M19)=FALSE,"Error 1.2",IF(M19&lt;0,"Error 1.3",IF(ABS(M19+1000)&lt;('Table 2'!AA133),"Error 4.6.4","")))))</f>
      </c>
      <c r="AP19" s="660">
        <f>IF(AND(O19="",$H$1&lt;&gt;"*"),"",IF(AND(O19="",$H$1="*"),"Error 1.1",IF(ISNUMBER(O19)=FALSE,"Error 1.2",IF(ABS(O19-'Table 2'!AA152)&gt;1000,"Error 4.6",""))))</f>
      </c>
      <c r="AR19" s="778"/>
      <c r="AT19" s="660">
        <f>IF(AND(S19="",$H$1&lt;&gt;"*"),"",IF(AND(S19="",$H$1="*"),"Error 1.1",IF(ISNUMBER(S19)=FALSE,"Error 1.2",IF(S19&lt;0,"Error 1.3",""))))</f>
      </c>
      <c r="AU19" s="605">
        <f t="shared" si="4"/>
        <v>0</v>
      </c>
    </row>
    <row r="20" spans="2:47" ht="12.75" customHeight="1">
      <c r="B20" s="783" t="s">
        <v>699</v>
      </c>
      <c r="C20" s="923" t="s">
        <v>700</v>
      </c>
      <c r="D20" s="923"/>
      <c r="E20" s="923"/>
      <c r="F20" s="670"/>
      <c r="G20" s="649">
        <v>1399546</v>
      </c>
      <c r="I20" s="647"/>
      <c r="J20" s="785"/>
      <c r="K20" s="647"/>
      <c r="L20" s="786"/>
      <c r="M20" s="647"/>
      <c r="O20" s="646">
        <f t="shared" si="0"/>
        <v>1399546</v>
      </c>
      <c r="Q20" s="649">
        <v>0</v>
      </c>
      <c r="S20" s="646">
        <f t="shared" si="1"/>
        <v>1399546</v>
      </c>
      <c r="T20" s="657"/>
      <c r="U20" s="657"/>
      <c r="V20" s="657"/>
      <c r="W20" s="657"/>
      <c r="X20" s="657"/>
      <c r="Y20" s="657"/>
      <c r="AC20" s="761" t="str">
        <f t="shared" si="2"/>
        <v>1.0.9</v>
      </c>
      <c r="AD20" s="950" t="str">
        <f t="shared" si="3"/>
        <v>Expenditure for Education of Children under 5s in Private/voluntary/independent settings</v>
      </c>
      <c r="AE20" s="950"/>
      <c r="AF20" s="950"/>
      <c r="AH20" s="660">
        <f>IF(AND(G20="",$H$1&lt;&gt;"*"),"",IF(AND(G20="",$H$1="*"),"Error 1.1",IF(ISNUMBER(G20)=FALSE,"Error 1.2",IF(G20&lt;0,"Error 1.3",""))))</f>
      </c>
      <c r="AJ20" s="778"/>
      <c r="AL20" s="778"/>
      <c r="AN20" s="778"/>
      <c r="AO20" s="15"/>
      <c r="AP20" s="660">
        <f>IF(AND(O20="",$H$1&lt;&gt;"*"),"",IF(AND(O20="",$H$1="*"),"Error 1.1",IF(ISNUMBER(O20)=FALSE,"Error 1.2","")))</f>
      </c>
      <c r="AQ20" s="15"/>
      <c r="AR20" s="660">
        <f>IF(AND(Q20="",$H$1&lt;&gt;"*"),"",IF(AND(Q20="",$H$1="*"),"Error 1.1",IF(ISNUMBER(Q20)=FALSE,"Error 1.2",IF(Q20&lt;0,"Error 1.3",""))))</f>
      </c>
      <c r="AS20" s="15"/>
      <c r="AT20" s="660">
        <f>IF(AND(S20="",$H$1&lt;&gt;"*"),"",IF(AND(S20="",$H$1="*"),"Error 1.1",IF(ISNUMBER(S20)=FALSE,"Error 1.2",IF(S20&lt;0,"Error 1.3",""))))</f>
      </c>
      <c r="AU20" s="605">
        <f t="shared" si="4"/>
        <v>0</v>
      </c>
    </row>
    <row r="21" spans="2:66" s="219" customFormat="1" ht="12.75">
      <c r="B21" s="787"/>
      <c r="C21" s="788"/>
      <c r="D21" s="788"/>
      <c r="E21" s="788"/>
      <c r="F21" s="789"/>
      <c r="G21" s="789"/>
      <c r="AC21" s="790"/>
      <c r="AD21" s="791"/>
      <c r="AE21" s="792"/>
      <c r="AF21" s="792"/>
      <c r="AG21" s="623"/>
      <c r="AP21" s="741"/>
      <c r="AQ21" s="154"/>
      <c r="AR21" s="741"/>
      <c r="AS21" s="154"/>
      <c r="AT21" s="741"/>
      <c r="AV21" s="154"/>
      <c r="AW21" s="154"/>
      <c r="AX21" s="154"/>
      <c r="AY21" s="154"/>
      <c r="AZ21" s="154"/>
      <c r="BA21" s="154"/>
      <c r="BB21" s="154"/>
      <c r="BC21" s="154"/>
      <c r="BD21" s="154"/>
      <c r="BE21" s="154"/>
      <c r="BF21" s="154"/>
      <c r="BG21" s="154"/>
      <c r="BH21" s="154"/>
      <c r="BI21" s="154"/>
      <c r="BJ21" s="154"/>
      <c r="BK21" s="154"/>
      <c r="BL21" s="154"/>
      <c r="BM21" s="154"/>
      <c r="BN21" s="154"/>
    </row>
    <row r="22" spans="2:47" ht="12.75">
      <c r="B22" s="793" t="s">
        <v>701</v>
      </c>
      <c r="C22" s="949" t="s">
        <v>702</v>
      </c>
      <c r="D22" s="949"/>
      <c r="E22" s="949"/>
      <c r="F22" s="794"/>
      <c r="G22" s="649">
        <v>0</v>
      </c>
      <c r="I22" s="649">
        <v>0</v>
      </c>
      <c r="K22" s="649">
        <v>0</v>
      </c>
      <c r="M22" s="649">
        <v>0</v>
      </c>
      <c r="O22" s="646">
        <f>SUM(G22:M22)</f>
        <v>0</v>
      </c>
      <c r="Q22" s="649">
        <v>0</v>
      </c>
      <c r="S22" s="646">
        <f>IF(ISERROR(O22-Q22),0,O22-Q22)</f>
        <v>0</v>
      </c>
      <c r="T22" s="657"/>
      <c r="U22" s="657"/>
      <c r="V22" s="657"/>
      <c r="W22" s="657"/>
      <c r="X22" s="657"/>
      <c r="Y22" s="657"/>
      <c r="AC22" s="761" t="str">
        <f>B22</f>
        <v>1.1.1</v>
      </c>
      <c r="AD22" s="950" t="str">
        <f>C22</f>
        <v>Support for schools in financial difficulty</v>
      </c>
      <c r="AE22" s="950"/>
      <c r="AF22" s="950"/>
      <c r="AH22" s="660">
        <f>IF(AND(G22="",$H$1&lt;&gt;"*"),"",IF(AND(G22="",$H$1="*"),"Error 1.1",IF(ISNUMBER(G22)=FALSE,"Error 1.2",IF(G22&lt;0,"Error 1.3",IF(ABS(G22+1000)&lt;'Table 2'!AB22,"Error 4.12.1","")))))</f>
      </c>
      <c r="AJ22" s="660">
        <f>IF(AND(I22="",$H$1&lt;&gt;"*"),"",IF(AND(I22="",$H$1="*"),"Error 1.1",IF(ISNUMBER(I22)=FALSE,"Error 1.2",IF(I22&lt;0,"Error 1.3",IF(ABS(I22+1000)&lt;'Table 2'!AB96,"Error 4.12.2","")))))</f>
      </c>
      <c r="AL22" s="660">
        <f>IF(AND(K22="",$H$1&lt;&gt;"*"),"",IF(AND(K22="",$H$1="*"),"Error 1.1",IF(ISNUMBER(K22)=FALSE,"Error 1.2",IF(K22&lt;0,"Error 1.3",IF(ABS(K22+1000)&lt;'Table 2'!AB115,"Error 4.12.3","")))))</f>
      </c>
      <c r="AN22" s="660">
        <f>IF(AND(M22="",$H$1&lt;&gt;"*"),"",IF(AND(M22="",$H$1="*"),"Error 1.1",IF(ISNUMBER(M22)=FALSE,"Error 1.2",IF(M22&lt;0,"Error 1.3",IF(ABS(M22+1000)&lt;'Table 2'!AB133,"Error 4.12.4","")))))</f>
      </c>
      <c r="AP22" s="660">
        <f>IF(AND(O22="",$H$1&lt;&gt;"*"),"",IF(AND(O22="",$H$1="*"),"Error 1.1",IF(ISNUMBER(O22)=FALSE,"Error 1.2",IF(ABS(O22-'Table 2'!AB156)&gt;1000,"Error 4.12",""))))</f>
      </c>
      <c r="AR22" s="660">
        <f>IF(AND(Q22="",$H$1&lt;&gt;"*"),"",IF(AND(Q22="",$H$1="*"),"Error 1.1",IF(ISNUMBER(Q22)=FALSE,"Error 1.2",IF(Q22&lt;0,"Error 1.3",""))))</f>
      </c>
      <c r="AT22" s="660">
        <f>IF(AND(S22="",$H$1&lt;&gt;"*"),"",IF(AND(S22="",$H$1="*"),"Error 1.1",IF(ISNUMBER(S22)=FALSE,"Error 1.2",IF(S22&lt;0,"Error 1.3",""))))</f>
      </c>
      <c r="AU22" s="605">
        <f>IF(LEN(TRIM(AH22&amp;AJ22&amp;AL22&amp;AN22&amp;AP22&amp;AR22&amp;AT22))&gt;0,1,0)</f>
        <v>0</v>
      </c>
    </row>
    <row r="23" spans="2:47" ht="12.75">
      <c r="B23" s="793" t="s">
        <v>703</v>
      </c>
      <c r="C23" s="949" t="s">
        <v>704</v>
      </c>
      <c r="D23" s="949"/>
      <c r="E23" s="949"/>
      <c r="F23" s="794"/>
      <c r="G23" s="649">
        <v>0</v>
      </c>
      <c r="I23" s="649">
        <v>380490</v>
      </c>
      <c r="K23" s="649">
        <v>476319</v>
      </c>
      <c r="M23" s="649">
        <v>207563</v>
      </c>
      <c r="O23" s="646">
        <f>SUM(G23:M23)</f>
        <v>1064372</v>
      </c>
      <c r="Q23" s="649">
        <v>0</v>
      </c>
      <c r="S23" s="646">
        <f>IF(ISERROR(O23-Q23),0,O23-Q23)</f>
        <v>1064372</v>
      </c>
      <c r="T23" s="657"/>
      <c r="U23" s="657"/>
      <c r="V23" s="657"/>
      <c r="W23" s="657"/>
      <c r="X23" s="657"/>
      <c r="Y23" s="657"/>
      <c r="AC23" s="761" t="str">
        <f>B23</f>
        <v>1.1.2</v>
      </c>
      <c r="AD23" s="950" t="str">
        <f>C23</f>
        <v>School-specific contingencies</v>
      </c>
      <c r="AE23" s="950"/>
      <c r="AF23" s="950"/>
      <c r="AH23" s="660">
        <f>IF(AND(G23="",$H$1&lt;&gt;"*"),"",IF(AND(G23="",$H$1="*"),"Error 1.1",IF(ISNUMBER(G23)=FALSE,"Error 1.2",IF(G23&lt;0,"Error 1.3",""))))</f>
      </c>
      <c r="AJ23" s="660">
        <f>IF(AND(I23="",$H$1&lt;&gt;"*"),"",IF(AND(I23="",$H$1="*"),"Error 1.1",IF(ISNUMBER(I23)=FALSE,"Error 1.2",IF(I23&lt;0,"Error 1.3",""))))</f>
      </c>
      <c r="AL23" s="660">
        <f>IF(AND(K23="",$H$1&lt;&gt;"*"),"",IF(AND(K23="",$H$1="*"),"Error 1.1",IF(ISNUMBER(K23)=FALSE,"Error 1.2",IF(K23&lt;0,"Error 1.3",""))))</f>
      </c>
      <c r="AN23" s="660">
        <f>IF(AND(M23="",$H$1&lt;&gt;"*"),"",IF(AND(M23="",$H$1="*"),"Error 1.1",IF(ISNUMBER(M23)=FALSE,"Error 1.2",IF(M23&lt;0,"Error 1.3",""))))</f>
      </c>
      <c r="AP23" s="660">
        <f>IF(AND(O23="",$H$1&lt;&gt;"*"),"",IF(AND(O23="",$H$1="*"),"Error 1.1",IF(ISNUMBER(O23)=FALSE,"Error 1.2","")))</f>
      </c>
      <c r="AR23" s="660">
        <f>IF(AND(Q23="",$H$1&lt;&gt;"*"),"",IF(AND(Q23="",$H$1="*"),"Error 1.1",IF(ISNUMBER(Q23)=FALSE,"Error 1.2",IF(Q23&lt;0,"Error 1.3",""))))</f>
      </c>
      <c r="AT23" s="660">
        <f>IF(AND(S23="",$H$1&lt;&gt;"*"),"",IF(AND(S23="",$H$1="*"),"Error 1.1",IF(ISNUMBER(S23)=FALSE,"Error 1.2",IF(S23&lt;0,"Error 1.3",""))))</f>
      </c>
      <c r="AU23" s="605">
        <f>IF(LEN(TRIM(AH23&amp;AJ23&amp;AL23&amp;AN23&amp;AP23&amp;AR23&amp;AT23))&gt;0,1,0)</f>
        <v>0</v>
      </c>
    </row>
    <row r="24" spans="2:47" ht="12.75">
      <c r="B24" s="793"/>
      <c r="C24" s="795"/>
      <c r="D24" s="795"/>
      <c r="E24" s="795"/>
      <c r="F24" s="794"/>
      <c r="G24" s="796"/>
      <c r="H24" s="52"/>
      <c r="I24" s="52"/>
      <c r="J24" s="52"/>
      <c r="K24" s="52"/>
      <c r="L24" s="52"/>
      <c r="M24" s="52"/>
      <c r="N24" s="52"/>
      <c r="O24" s="52"/>
      <c r="P24" s="52"/>
      <c r="Q24" s="52"/>
      <c r="R24" s="52"/>
      <c r="S24" s="52"/>
      <c r="T24" s="52"/>
      <c r="AD24" s="950"/>
      <c r="AE24" s="950"/>
      <c r="AF24" s="950"/>
      <c r="AG24" s="626"/>
      <c r="AH24" s="680"/>
      <c r="AI24" s="154"/>
      <c r="AJ24" s="680"/>
      <c r="AK24" s="154"/>
      <c r="AL24" s="154"/>
      <c r="AM24" s="154"/>
      <c r="AN24" s="680"/>
      <c r="AO24" s="52"/>
      <c r="AP24" s="680"/>
      <c r="AQ24" s="154"/>
      <c r="AR24" s="680"/>
      <c r="AS24" s="154"/>
      <c r="AT24" s="680"/>
      <c r="AU24" s="52"/>
    </row>
    <row r="25" spans="2:47" ht="12.75">
      <c r="B25" s="793" t="s">
        <v>705</v>
      </c>
      <c r="C25" s="949" t="s">
        <v>706</v>
      </c>
      <c r="D25" s="949"/>
      <c r="E25" s="949"/>
      <c r="F25" s="794"/>
      <c r="G25" s="649">
        <v>0</v>
      </c>
      <c r="I25" s="649">
        <v>32043.76064507904</v>
      </c>
      <c r="K25" s="649">
        <v>76396.23935492095</v>
      </c>
      <c r="M25" s="649">
        <v>218514</v>
      </c>
      <c r="O25" s="646">
        <f aca="true" t="shared" si="6" ref="O25:O31">SUM(G25:M25)</f>
        <v>326954</v>
      </c>
      <c r="Q25" s="649">
        <v>0</v>
      </c>
      <c r="S25" s="646">
        <f aca="true" t="shared" si="7" ref="S25:S31">IF(ISERROR(O25-Q25),0,O25-Q25)</f>
        <v>326954</v>
      </c>
      <c r="T25" s="657"/>
      <c r="U25" s="657"/>
      <c r="V25" s="657"/>
      <c r="W25" s="657"/>
      <c r="X25" s="657"/>
      <c r="Y25" s="657"/>
      <c r="AC25" s="761" t="str">
        <f aca="true" t="shared" si="8" ref="AC25:AD31">B25</f>
        <v>1.2.1</v>
      </c>
      <c r="AD25" s="950" t="str">
        <f t="shared" si="8"/>
        <v>Provision for pupils with SEN (including assigned resources) </v>
      </c>
      <c r="AE25" s="950"/>
      <c r="AF25" s="950"/>
      <c r="AH25" s="660">
        <f aca="true" t="shared" si="9" ref="AH25:AH30">IF(AND(G25="",$H$1&lt;&gt;"*"),"",IF(AND(G25="",$H$1="*"),"Error 1.1",IF(ISNUMBER(G25)=FALSE,"Error 1.2",IF(G25&lt;0,"Error 1.3",""))))</f>
      </c>
      <c r="AJ25" s="660">
        <f aca="true" t="shared" si="10" ref="AJ25:AJ30">IF(AND(I25="",$H$1&lt;&gt;"*"),"",IF(AND(I25="",$H$1="*"),"Error 1.1",IF(ISNUMBER(I25)=FALSE,"Error 1.2",IF(I25&lt;0,"Error 1.3",""))))</f>
      </c>
      <c r="AL25" s="660">
        <f aca="true" t="shared" si="11" ref="AL25:AL30">IF(AND(K25="",$H$1&lt;&gt;"*"),"",IF(AND(K25="",$H$1="*"),"Error 1.1",IF(ISNUMBER(K25)=FALSE,"Error 1.2",IF(K25&lt;0,"Error 1.3",""))))</f>
      </c>
      <c r="AN25" s="660">
        <f aca="true" t="shared" si="12" ref="AN25:AN30">IF(AND(M25="",$H$1&lt;&gt;"*"),"",IF(AND(M25="",$H$1="*"),"Error 1.1",IF(ISNUMBER(M25)=FALSE,"Error 1.2",IF(M25&lt;0,"Error 1.3",""))))</f>
      </c>
      <c r="AP25" s="660">
        <f aca="true" t="shared" si="13" ref="AP25:AP31">IF(AND(O25="",$H$1&lt;&gt;"*"),"",IF(AND(O25="",$H$1="*"),"Error 1.1",IF(ISNUMBER(O25)=FALSE,"Error 1.2","")))</f>
      </c>
      <c r="AR25" s="660">
        <f aca="true" t="shared" si="14" ref="AR25:AR30">IF(AND(Q25="",$H$1&lt;&gt;"*"),"",IF(AND(Q25="",$H$1="*"),"Error 1.1",IF(ISNUMBER(Q25)=FALSE,"Error 1.2",IF(Q25&lt;0,"Error 1.3",""))))</f>
      </c>
      <c r="AT25" s="660">
        <f aca="true" t="shared" si="15" ref="AT25:AT30">IF(AND(S25="",$H$1&lt;&gt;"*"),"",IF(AND(S25="",$H$1="*"),"Error 1.1",IF(ISNUMBER(S25)=FALSE,"Error 1.2",IF(S25&lt;0,"Error 1.3",""))))</f>
      </c>
      <c r="AU25" s="605">
        <f>IF(LEN(TRIM(AH25&amp;AJ25&amp;AL25&amp;AN25&amp;AP25&amp;AR25&amp;AT25))&gt;0,1,0)</f>
        <v>0</v>
      </c>
    </row>
    <row r="26" spans="2:47" ht="12.75" customHeight="1">
      <c r="B26" s="793" t="s">
        <v>707</v>
      </c>
      <c r="C26" s="949" t="s">
        <v>708</v>
      </c>
      <c r="D26" s="949"/>
      <c r="E26" s="949"/>
      <c r="F26" s="794"/>
      <c r="G26" s="649">
        <v>0</v>
      </c>
      <c r="I26" s="649">
        <v>2589435.05</v>
      </c>
      <c r="K26" s="649">
        <v>544959.41</v>
      </c>
      <c r="M26" s="649">
        <v>63967.54</v>
      </c>
      <c r="O26" s="735">
        <f t="shared" si="6"/>
        <v>3198362</v>
      </c>
      <c r="Q26" s="649">
        <v>5370</v>
      </c>
      <c r="S26" s="735">
        <f t="shared" si="7"/>
        <v>3192992</v>
      </c>
      <c r="T26" s="728"/>
      <c r="U26" s="728"/>
      <c r="V26" s="728"/>
      <c r="W26" s="728"/>
      <c r="X26" s="728"/>
      <c r="Y26" s="728"/>
      <c r="AC26" s="797" t="str">
        <f t="shared" si="8"/>
        <v>1.2.2</v>
      </c>
      <c r="AD26" s="884" t="str">
        <f t="shared" si="8"/>
        <v>Provision for pupils with SEN, provision not included in line 1.2.1</v>
      </c>
      <c r="AE26" s="884"/>
      <c r="AF26" s="884"/>
      <c r="AH26" s="660">
        <f t="shared" si="9"/>
      </c>
      <c r="AJ26" s="660">
        <f t="shared" si="10"/>
      </c>
      <c r="AL26" s="660">
        <f t="shared" si="11"/>
      </c>
      <c r="AN26" s="660">
        <f t="shared" si="12"/>
      </c>
      <c r="AP26" s="660">
        <f t="shared" si="13"/>
      </c>
      <c r="AR26" s="660">
        <f t="shared" si="14"/>
      </c>
      <c r="AT26" s="660">
        <f t="shared" si="15"/>
      </c>
      <c r="AU26" s="798">
        <f>IF(LEN(TRIM(AH26&amp;AJ26&amp;AL26&amp;AN26&amp;AP26&amp;AR26&amp;AT26))&gt;0,1,0)</f>
        <v>0</v>
      </c>
    </row>
    <row r="27" spans="2:47" ht="12.75">
      <c r="B27" s="793" t="s">
        <v>709</v>
      </c>
      <c r="C27" s="949" t="s">
        <v>710</v>
      </c>
      <c r="D27" s="949"/>
      <c r="E27" s="949"/>
      <c r="F27" s="794"/>
      <c r="G27" s="649">
        <v>0</v>
      </c>
      <c r="I27" s="649">
        <v>0</v>
      </c>
      <c r="K27" s="649">
        <v>0</v>
      </c>
      <c r="M27" s="649">
        <v>0</v>
      </c>
      <c r="O27" s="646">
        <f t="shared" si="6"/>
        <v>0</v>
      </c>
      <c r="Q27" s="649">
        <v>0</v>
      </c>
      <c r="S27" s="646">
        <f t="shared" si="7"/>
        <v>0</v>
      </c>
      <c r="T27" s="657"/>
      <c r="U27" s="657"/>
      <c r="V27" s="657"/>
      <c r="W27" s="657"/>
      <c r="X27" s="657"/>
      <c r="Y27" s="657"/>
      <c r="AC27" s="761" t="str">
        <f t="shared" si="8"/>
        <v>1.2.3</v>
      </c>
      <c r="AD27" s="950" t="str">
        <f t="shared" si="8"/>
        <v>Support for inclusion</v>
      </c>
      <c r="AE27" s="950"/>
      <c r="AF27" s="950"/>
      <c r="AH27" s="660">
        <f t="shared" si="9"/>
      </c>
      <c r="AJ27" s="660">
        <f t="shared" si="10"/>
      </c>
      <c r="AL27" s="660">
        <f t="shared" si="11"/>
      </c>
      <c r="AN27" s="660">
        <f t="shared" si="12"/>
      </c>
      <c r="AP27" s="660">
        <f t="shared" si="13"/>
      </c>
      <c r="AR27" s="660">
        <f t="shared" si="14"/>
      </c>
      <c r="AT27" s="660">
        <f t="shared" si="15"/>
      </c>
      <c r="AU27" s="605">
        <f>IF(LEN(TRIM(AH27&amp;AJ27&amp;AL27&amp;AN27&amp;AP27&amp;AR27&amp;AT27))&gt;0,1,0)</f>
        <v>0</v>
      </c>
    </row>
    <row r="28" spans="2:47" ht="12.75">
      <c r="B28" s="793" t="s">
        <v>711</v>
      </c>
      <c r="C28" s="949" t="s">
        <v>712</v>
      </c>
      <c r="D28" s="949"/>
      <c r="E28" s="949"/>
      <c r="F28" s="794"/>
      <c r="G28" s="649">
        <v>0</v>
      </c>
      <c r="I28" s="649">
        <v>0</v>
      </c>
      <c r="K28" s="649">
        <v>0</v>
      </c>
      <c r="M28" s="649">
        <v>2146091</v>
      </c>
      <c r="O28" s="646">
        <f t="shared" si="6"/>
        <v>2146091</v>
      </c>
      <c r="Q28" s="649">
        <v>0</v>
      </c>
      <c r="S28" s="646">
        <f t="shared" si="7"/>
        <v>2146091</v>
      </c>
      <c r="T28" s="657"/>
      <c r="U28" s="657"/>
      <c r="V28" s="657"/>
      <c r="W28" s="657"/>
      <c r="X28" s="657"/>
      <c r="Y28" s="657"/>
      <c r="AC28" s="761" t="str">
        <f t="shared" si="8"/>
        <v>1.2.4</v>
      </c>
      <c r="AD28" s="950" t="str">
        <f t="shared" si="8"/>
        <v>Fees for pupils at independent special schools &amp; abroad</v>
      </c>
      <c r="AE28" s="950"/>
      <c r="AF28" s="950"/>
      <c r="AH28" s="660">
        <f t="shared" si="9"/>
      </c>
      <c r="AJ28" s="660">
        <f t="shared" si="10"/>
      </c>
      <c r="AL28" s="660">
        <f t="shared" si="11"/>
      </c>
      <c r="AN28" s="660">
        <f t="shared" si="12"/>
      </c>
      <c r="AP28" s="660">
        <f t="shared" si="13"/>
      </c>
      <c r="AR28" s="660">
        <f t="shared" si="14"/>
      </c>
      <c r="AT28" s="660">
        <f t="shared" si="15"/>
      </c>
      <c r="AU28" s="605">
        <f>IF(LEN(TRIM(AH28&amp;AJ28&amp;AL28&amp;AN28&amp;AP28&amp;AR28&amp;AT28))&gt;0,1,0)</f>
        <v>0</v>
      </c>
    </row>
    <row r="29" spans="2:47" ht="12.75">
      <c r="B29" s="793" t="s">
        <v>713</v>
      </c>
      <c r="C29" s="906" t="s">
        <v>714</v>
      </c>
      <c r="D29" s="906"/>
      <c r="E29" s="906"/>
      <c r="F29" s="799"/>
      <c r="G29" s="649">
        <v>0</v>
      </c>
      <c r="I29" s="649">
        <v>0</v>
      </c>
      <c r="K29" s="649">
        <v>0</v>
      </c>
      <c r="M29" s="649">
        <v>0</v>
      </c>
      <c r="O29" s="646">
        <f t="shared" si="6"/>
        <v>0</v>
      </c>
      <c r="Q29" s="649">
        <v>0</v>
      </c>
      <c r="S29" s="646">
        <f t="shared" si="7"/>
        <v>0</v>
      </c>
      <c r="T29" s="657"/>
      <c r="U29" s="657"/>
      <c r="V29" s="657"/>
      <c r="W29" s="657"/>
      <c r="X29" s="657"/>
      <c r="Y29" s="657"/>
      <c r="AC29" s="761" t="str">
        <f t="shared" si="8"/>
        <v>1.2.5</v>
      </c>
      <c r="AD29" s="950" t="str">
        <f t="shared" si="8"/>
        <v>SEN transport</v>
      </c>
      <c r="AE29" s="950"/>
      <c r="AF29" s="950"/>
      <c r="AH29" s="660">
        <f t="shared" si="9"/>
      </c>
      <c r="AJ29" s="660">
        <f t="shared" si="10"/>
      </c>
      <c r="AL29" s="660">
        <f t="shared" si="11"/>
      </c>
      <c r="AN29" s="660">
        <f t="shared" si="12"/>
      </c>
      <c r="AP29" s="660">
        <f t="shared" si="13"/>
      </c>
      <c r="AR29" s="660">
        <f t="shared" si="14"/>
      </c>
      <c r="AT29" s="660">
        <f t="shared" si="15"/>
      </c>
      <c r="AU29" s="605">
        <f>IF(LEN(TRIM(AH29&amp;AJ29&amp;AL29&amp;AN29&amp;AP29&amp;AR29&amp;AT29))&gt;0,1,0)</f>
        <v>0</v>
      </c>
    </row>
    <row r="30" spans="2:47" ht="12.75" customHeight="1">
      <c r="B30" s="793" t="s">
        <v>715</v>
      </c>
      <c r="C30" s="949" t="s">
        <v>716</v>
      </c>
      <c r="D30" s="949"/>
      <c r="E30" s="949"/>
      <c r="F30" s="800"/>
      <c r="G30" s="649">
        <v>0</v>
      </c>
      <c r="I30" s="649">
        <v>0</v>
      </c>
      <c r="K30" s="649">
        <v>0</v>
      </c>
      <c r="M30" s="649">
        <v>0</v>
      </c>
      <c r="O30" s="646">
        <f t="shared" si="6"/>
        <v>0</v>
      </c>
      <c r="Q30" s="649">
        <v>0</v>
      </c>
      <c r="S30" s="646">
        <f t="shared" si="7"/>
        <v>0</v>
      </c>
      <c r="T30" s="657"/>
      <c r="U30" s="657"/>
      <c r="V30" s="657"/>
      <c r="W30" s="657"/>
      <c r="X30" s="657"/>
      <c r="Y30" s="657"/>
      <c r="AC30" s="761" t="str">
        <f t="shared" si="8"/>
        <v>1.2.6</v>
      </c>
      <c r="AD30" s="950" t="str">
        <f t="shared" si="8"/>
        <v>Fees to independent schools for pupils without SEN</v>
      </c>
      <c r="AE30" s="950"/>
      <c r="AF30" s="950"/>
      <c r="AH30" s="660">
        <f t="shared" si="9"/>
      </c>
      <c r="AI30" s="15"/>
      <c r="AJ30" s="660">
        <f t="shared" si="10"/>
      </c>
      <c r="AK30" s="15"/>
      <c r="AL30" s="660">
        <f t="shared" si="11"/>
      </c>
      <c r="AM30" s="15"/>
      <c r="AN30" s="660">
        <f t="shared" si="12"/>
      </c>
      <c r="AO30" s="15"/>
      <c r="AP30" s="660">
        <f t="shared" si="13"/>
      </c>
      <c r="AQ30" s="15"/>
      <c r="AR30" s="660">
        <f t="shared" si="14"/>
      </c>
      <c r="AS30" s="15"/>
      <c r="AT30" s="660">
        <f t="shared" si="15"/>
      </c>
      <c r="AU30" s="605"/>
    </row>
    <row r="31" spans="2:47" ht="12.75" customHeight="1">
      <c r="B31" s="793" t="s">
        <v>717</v>
      </c>
      <c r="C31" s="949" t="s">
        <v>718</v>
      </c>
      <c r="D31" s="949"/>
      <c r="E31" s="949"/>
      <c r="F31" s="801"/>
      <c r="G31" s="649">
        <v>0</v>
      </c>
      <c r="I31" s="649">
        <v>0</v>
      </c>
      <c r="K31" s="649">
        <v>0</v>
      </c>
      <c r="M31" s="649">
        <v>1314517</v>
      </c>
      <c r="O31" s="646">
        <f t="shared" si="6"/>
        <v>1314517</v>
      </c>
      <c r="Q31" s="649">
        <v>1156975</v>
      </c>
      <c r="S31" s="646">
        <f t="shared" si="7"/>
        <v>157542</v>
      </c>
      <c r="T31" s="657"/>
      <c r="U31" s="657"/>
      <c r="V31" s="657"/>
      <c r="W31" s="657"/>
      <c r="X31" s="657"/>
      <c r="Y31" s="657"/>
      <c r="AC31" s="761" t="str">
        <f t="shared" si="8"/>
        <v>1.2.7</v>
      </c>
      <c r="AD31" s="950" t="str">
        <f t="shared" si="8"/>
        <v>Inter-authority recoupment</v>
      </c>
      <c r="AE31" s="950"/>
      <c r="AF31" s="950"/>
      <c r="AH31" s="660">
        <f>IF(AND(G31="",$H$1&lt;&gt;"*"),"",IF(AND(G31="",$H$1="*"),"Error 1.1",IF(ISNUMBER(G31)=FALSE,"Error 1.2","")))</f>
      </c>
      <c r="AJ31" s="660">
        <f>IF(AND(I31="",$H$1&lt;&gt;"*"),"",IF(AND(I31="",$H$1="*"),"Error 1.1",IF(ISNUMBER(I31)=FALSE,"Error 1.2","")))</f>
      </c>
      <c r="AL31" s="660">
        <f>IF(AND(K31="",$H$1&lt;&gt;"*"),"",IF(AND(K31="",$H$1="*"),"Error 1.1",IF(ISNUMBER(K31)=FALSE,"Error 1.2","")))</f>
      </c>
      <c r="AN31" s="660">
        <f>IF(AND(M31="",$H$1&lt;&gt;"*"),"",IF(AND(M31="",$H$1="*"),"Error 1.1",IF(ISNUMBER(M31)=FALSE,"Error 1.2","")))</f>
      </c>
      <c r="AP31" s="660">
        <f t="shared" si="13"/>
      </c>
      <c r="AR31" s="660">
        <f>IF(AND(Q31="",$H$1&lt;&gt;"*"),"",IF(AND(Q31="",$H$1="*"),"Error 1.1",IF(ISNUMBER(Q31)=FALSE,"Error 1.2","")))</f>
      </c>
      <c r="AT31" s="660">
        <f>IF(AND(S31="",$H$1&lt;&gt;"*"),"",IF(AND(S31="",$H$1="*"),"Error 1.1",IF(ISNUMBER(S31)=FALSE,"Error 1.2","")))</f>
      </c>
      <c r="AU31" s="605">
        <f>IF(LEN(TRIM(AH31&amp;AJ31&amp;AL31&amp;AN31&amp;AP31&amp;AR31&amp;AT31))&gt;0,1,0)</f>
        <v>0</v>
      </c>
    </row>
    <row r="32" spans="3:46" ht="12.75">
      <c r="C32" s="802"/>
      <c r="D32" s="802"/>
      <c r="E32" s="802"/>
      <c r="AH32" s="741"/>
      <c r="AI32" s="154"/>
      <c r="AJ32" s="741"/>
      <c r="AK32" s="154"/>
      <c r="AL32" s="154"/>
      <c r="AM32" s="154"/>
      <c r="AN32" s="741"/>
      <c r="AP32" s="741"/>
      <c r="AQ32" s="154"/>
      <c r="AR32" s="741"/>
      <c r="AS32" s="154"/>
      <c r="AT32" s="741"/>
    </row>
    <row r="33" spans="2:47" ht="12.75">
      <c r="B33" s="793" t="s">
        <v>719</v>
      </c>
      <c r="C33" s="949" t="s">
        <v>720</v>
      </c>
      <c r="D33" s="949"/>
      <c r="E33" s="949"/>
      <c r="F33" s="803"/>
      <c r="G33" s="649">
        <v>0</v>
      </c>
      <c r="I33" s="649">
        <v>174530.03154864002</v>
      </c>
      <c r="K33" s="649">
        <v>128264.98143837295</v>
      </c>
      <c r="M33" s="649">
        <v>12274.987012987012</v>
      </c>
      <c r="O33" s="646">
        <f>SUM(G33:M33)</f>
        <v>315070</v>
      </c>
      <c r="Q33" s="649">
        <v>3145</v>
      </c>
      <c r="S33" s="646">
        <f>IF(ISERROR(O33-Q33),0,O33-Q33)</f>
        <v>311925</v>
      </c>
      <c r="T33" s="657"/>
      <c r="U33" s="657"/>
      <c r="V33" s="657"/>
      <c r="W33" s="657"/>
      <c r="X33" s="657"/>
      <c r="Y33" s="657"/>
      <c r="AC33" s="761" t="str">
        <f>B33</f>
        <v>1.2.8</v>
      </c>
      <c r="AD33" s="950" t="str">
        <f>C33</f>
        <v>Contribution to combined budgets </v>
      </c>
      <c r="AE33" s="950"/>
      <c r="AF33" s="950"/>
      <c r="AH33" s="660">
        <f>IF(AND(G33="",$H$1&lt;&gt;"*"),"",IF(AND(G33="",$H$1="*"),"Error 1.1",IF(ISNUMBER(G33)=FALSE,"Error 1.2",IF(G33&lt;0,"Error 1.3",""))))</f>
      </c>
      <c r="AJ33" s="660">
        <f>IF(AND(I33="",$H$1&lt;&gt;"*"),"",IF(AND(I33="",$H$1="*"),"Error 1.1",IF(ISNUMBER(I33)=FALSE,"Error 1.2",IF(I33&lt;0,"Error 1.3",""))))</f>
      </c>
      <c r="AL33" s="660">
        <f>IF(AND(K33="",$H$1&lt;&gt;"*"),"",IF(AND(K33="",$H$1="*"),"Error 1.1",IF(ISNUMBER(K33)=FALSE,"Error 1.2",IF(K33&lt;0,"Error 1.3",""))))</f>
      </c>
      <c r="AN33" s="660">
        <f>IF(AND(M33="",$H$1&lt;&gt;"*"),"",IF(AND(M33="",$H$1="*"),"Error 1.1",IF(ISNUMBER(M33)=FALSE,"Error 1.2",IF(M33&lt;0,"Error 1.3",""))))</f>
      </c>
      <c r="AO33" s="663"/>
      <c r="AP33" s="660">
        <f>IF(AND(O33="",$H$1&lt;&gt;"*"),"",IF(AND(O33="",$H$1="*"),"Error 1.1",IF(ISNUMBER(O33)=FALSE,"Error 1.2","")))</f>
      </c>
      <c r="AQ33" s="52"/>
      <c r="AR33" s="660">
        <f>IF(AND(Q33="",$H$1&lt;&gt;"*"),"",IF(AND(Q33="",$H$1="*"),"Error 1.1",IF(ISNUMBER(Q33)=FALSE,"Error 1.2",IF(Q33&lt;0,"Error 1.3",""))))</f>
      </c>
      <c r="AS33" s="52"/>
      <c r="AT33" s="660">
        <f>IF(AND(S33="",$H$1&lt;&gt;"*"),"",IF(AND(S33="",$H$1="*"),"Error 1.1",IF(ISNUMBER(S33)=FALSE,"Error 1.2",IF(S33&lt;0,"Error 1.3",""))))</f>
      </c>
      <c r="AU33" s="804">
        <f>IF(LEN(TRIM(AH33&amp;AJ33&amp;AL33&amp;AN33&amp;AP33&amp;AR33&amp;AT33))&gt;0,1,0)</f>
        <v>0</v>
      </c>
    </row>
    <row r="34" spans="2:48" ht="12.75">
      <c r="B34" s="805"/>
      <c r="C34" s="808"/>
      <c r="D34" s="808"/>
      <c r="E34" s="808"/>
      <c r="F34" s="670"/>
      <c r="G34" s="670"/>
      <c r="Q34" s="809"/>
      <c r="AG34" s="154"/>
      <c r="AH34" s="741"/>
      <c r="AI34" s="688"/>
      <c r="AJ34" s="741"/>
      <c r="AK34" s="688"/>
      <c r="AL34" s="688"/>
      <c r="AM34" s="688"/>
      <c r="AN34" s="741"/>
      <c r="AP34" s="741"/>
      <c r="AQ34" s="154"/>
      <c r="AR34" s="741"/>
      <c r="AS34" s="154"/>
      <c r="AT34" s="741"/>
      <c r="AU34" s="686"/>
      <c r="AV34" s="154"/>
    </row>
    <row r="35" spans="2:47" ht="12.75">
      <c r="B35" s="793" t="s">
        <v>721</v>
      </c>
      <c r="C35" s="949" t="s">
        <v>722</v>
      </c>
      <c r="D35" s="949"/>
      <c r="E35" s="949"/>
      <c r="F35" s="794"/>
      <c r="G35" s="649">
        <v>0</v>
      </c>
      <c r="I35" s="649">
        <v>122321.00490196078</v>
      </c>
      <c r="K35" s="649">
        <v>1797175.9950980393</v>
      </c>
      <c r="M35" s="649">
        <v>0</v>
      </c>
      <c r="O35" s="646">
        <f>SUM(G35:M35)</f>
        <v>1919497</v>
      </c>
      <c r="Q35" s="649">
        <v>0</v>
      </c>
      <c r="S35" s="646">
        <f>IF(ISERROR(O35-Q35),0,O35-Q35)</f>
        <v>1919497</v>
      </c>
      <c r="T35" s="657"/>
      <c r="U35" s="657"/>
      <c r="V35" s="657"/>
      <c r="W35" s="657"/>
      <c r="X35" s="657"/>
      <c r="Y35" s="657"/>
      <c r="AC35" s="761" t="str">
        <f aca="true" t="shared" si="16" ref="AC35:AD39">B35</f>
        <v>1.3.1</v>
      </c>
      <c r="AD35" s="950" t="str">
        <f t="shared" si="16"/>
        <v>Pupil Referral Units</v>
      </c>
      <c r="AE35" s="950"/>
      <c r="AF35" s="950"/>
      <c r="AH35" s="660">
        <f>IF(AND(G35="",$H$1&lt;&gt;"*"),"",IF(AND(G35="",$H$1="*"),"Error 1.1",IF(ISNUMBER(G35)=FALSE,"Error 1.2",IF(G35&lt;0,"Error 1.3",""))))</f>
      </c>
      <c r="AJ35" s="660">
        <f>IF(AND(I35="",$H$1&lt;&gt;"*"),"",IF(AND(I35="",$H$1="*"),"Error 1.1",IF(ISNUMBER(I35)=FALSE,"Error 1.2",IF(I35&lt;0,"Error 1.3",""))))</f>
      </c>
      <c r="AL35" s="660">
        <f>IF(AND(K35="",$H$1&lt;&gt;"*"),"",IF(AND(K35="",$H$1="*"),"Error 1.1",IF(ISNUMBER(K35)=FALSE,"Error 1.2",IF(K35&lt;0,"Error 1.3",""))))</f>
      </c>
      <c r="AN35" s="660">
        <f>IF(AND(M35="",$H$1&lt;&gt;"*"),"",IF(AND(M35="",$H$1="*"),"Error 1.1",IF(ISNUMBER(M35)=FALSE,"Error 1.2",IF(M35&lt;0,"Error 1.3",""))))</f>
      </c>
      <c r="AP35" s="660">
        <f>IF(AND(O35="",$H$1&lt;&gt;"*"),"",IF(AND(O35="",$H$1="*"),"Error 1.1",IF(ISNUMBER(O35)=FALSE,"Error 1.2","")))</f>
      </c>
      <c r="AR35" s="660">
        <f>IF(AND(Q35="",$H$1&lt;&gt;"*"),"",IF(AND(Q35="",$H$1="*"),"Error 1.1",IF(ISNUMBER(Q35)=FALSE,"Error 1.2",IF(Q35&lt;0,"Error 1.3",""))))</f>
      </c>
      <c r="AT35" s="660">
        <f>IF(AND(S35="",$H$1&lt;&gt;"*"),"",IF(AND(S35="",$H$1="*"),"Error 1.1",IF(ISNUMBER(S35)=FALSE,"Error 1.2",IF(S35&lt;0,"Error 1.3",""))))</f>
      </c>
      <c r="AU35" s="605">
        <f>IF(LEN(TRIM(AH35&amp;AJ35&amp;AL35&amp;AN35&amp;AP35&amp;AR35&amp;AT35))&gt;0,1,0)</f>
        <v>0</v>
      </c>
    </row>
    <row r="36" spans="2:47" ht="12.75">
      <c r="B36" s="793" t="s">
        <v>723</v>
      </c>
      <c r="C36" s="949" t="s">
        <v>724</v>
      </c>
      <c r="D36" s="949"/>
      <c r="E36" s="949"/>
      <c r="F36" s="794"/>
      <c r="G36" s="649">
        <v>0</v>
      </c>
      <c r="I36" s="649">
        <v>0</v>
      </c>
      <c r="K36" s="649">
        <v>0</v>
      </c>
      <c r="M36" s="649">
        <v>0</v>
      </c>
      <c r="O36" s="646">
        <f>SUM(G36:M36)</f>
        <v>0</v>
      </c>
      <c r="Q36" s="649">
        <v>0</v>
      </c>
      <c r="S36" s="646">
        <f>IF(ISERROR(O36-Q36),0,O36-Q36)</f>
        <v>0</v>
      </c>
      <c r="T36" s="657"/>
      <c r="U36" s="657"/>
      <c r="V36" s="657"/>
      <c r="W36" s="657"/>
      <c r="X36" s="657"/>
      <c r="Y36" s="657"/>
      <c r="AC36" s="761" t="str">
        <f t="shared" si="16"/>
        <v>1.3.2</v>
      </c>
      <c r="AD36" s="950" t="str">
        <f t="shared" si="16"/>
        <v>Behaviour Support Services</v>
      </c>
      <c r="AE36" s="950"/>
      <c r="AF36" s="950"/>
      <c r="AH36" s="660">
        <f>IF(AND(G36="",$H$1&lt;&gt;"*"),"",IF(AND(G36="",$H$1="*"),"Error 1.1",IF(ISNUMBER(G36)=FALSE,"Error 1.2",IF(G36&lt;0,"Error 1.3",""))))</f>
      </c>
      <c r="AJ36" s="660">
        <f>IF(AND(I36="",$H$1&lt;&gt;"*"),"",IF(AND(I36="",$H$1="*"),"Error 1.1",IF(ISNUMBER(I36)=FALSE,"Error 1.2",IF(I36&lt;0,"Error 1.3",""))))</f>
      </c>
      <c r="AL36" s="660">
        <f>IF(AND(K36="",$H$1&lt;&gt;"*"),"",IF(AND(K36="",$H$1="*"),"Error 1.1",IF(ISNUMBER(K36)=FALSE,"Error 1.2",IF(K36&lt;0,"Error 1.3",""))))</f>
      </c>
      <c r="AN36" s="660">
        <f>IF(AND(M36="",$H$1&lt;&gt;"*"),"",IF(AND(M36="",$H$1="*"),"Error 1.1",IF(ISNUMBER(M36)=FALSE,"Error 1.2",IF(M36&lt;0,"Error 1.3",""))))</f>
      </c>
      <c r="AP36" s="660">
        <f>IF(AND(O36="",$H$1&lt;&gt;"*"),"",IF(AND(O36="",$H$1="*"),"Error 1.1",IF(ISNUMBER(O36)=FALSE,"Error 1.2","")))</f>
      </c>
      <c r="AR36" s="660">
        <f>IF(AND(Q36="",$H$1&lt;&gt;"*"),"",IF(AND(Q36="",$H$1="*"),"Error 1.1",IF(ISNUMBER(Q36)=FALSE,"Error 1.2",IF(Q36&lt;0,"Error 1.3",""))))</f>
      </c>
      <c r="AT36" s="660">
        <f>IF(AND(S36="",$H$1&lt;&gt;"*"),"",IF(AND(S36="",$H$1="*"),"Error 1.1",IF(ISNUMBER(S36)=FALSE,"Error 1.2",IF(S36&lt;0,"Error 1.3",""))))</f>
      </c>
      <c r="AU36" s="605">
        <f>IF(LEN(TRIM(AH36&amp;AJ36&amp;AL36&amp;AN36&amp;AP36&amp;AR36&amp;AT36))&gt;0,1,0)</f>
        <v>0</v>
      </c>
    </row>
    <row r="37" spans="2:47" ht="12.75">
      <c r="B37" s="793" t="s">
        <v>725</v>
      </c>
      <c r="C37" s="949" t="s">
        <v>726</v>
      </c>
      <c r="D37" s="949"/>
      <c r="E37" s="949"/>
      <c r="F37" s="794"/>
      <c r="G37" s="649">
        <v>0</v>
      </c>
      <c r="I37" s="649">
        <v>78741.04738421955</v>
      </c>
      <c r="K37" s="649">
        <v>691888.6798885078</v>
      </c>
      <c r="M37" s="649">
        <v>5538.272727272727</v>
      </c>
      <c r="O37" s="646">
        <f>SUM(G37:M37)</f>
        <v>776168.0000000001</v>
      </c>
      <c r="Q37" s="649">
        <v>0</v>
      </c>
      <c r="S37" s="646">
        <f>IF(ISERROR(O37-Q37),0,O37-Q37)</f>
        <v>776168.0000000001</v>
      </c>
      <c r="T37" s="657"/>
      <c r="U37" s="657"/>
      <c r="V37" s="657"/>
      <c r="W37" s="657"/>
      <c r="X37" s="657"/>
      <c r="Y37" s="657"/>
      <c r="AC37" s="761" t="str">
        <f t="shared" si="16"/>
        <v>1.3.3</v>
      </c>
      <c r="AD37" s="950" t="str">
        <f t="shared" si="16"/>
        <v>Education out of school</v>
      </c>
      <c r="AE37" s="950"/>
      <c r="AF37" s="950"/>
      <c r="AH37" s="660">
        <f>IF(AND(G37="",$H$1&lt;&gt;"*"),"",IF(AND(G37="",$H$1="*"),"Error 1.1",IF(ISNUMBER(G37)=FALSE,"Error 1.2",IF(G37&lt;0,"Error 1.3",""))))</f>
      </c>
      <c r="AJ37" s="660">
        <f>IF(AND(I37="",$H$1&lt;&gt;"*"),"",IF(AND(I37="",$H$1="*"),"Error 1.1",IF(ISNUMBER(I37)=FALSE,"Error 1.2",IF(I37&lt;0,"Error 1.3",""))))</f>
      </c>
      <c r="AL37" s="660">
        <f>IF(AND(K37="",$H$1&lt;&gt;"*"),"",IF(AND(K37="",$H$1="*"),"Error 1.1",IF(ISNUMBER(K37)=FALSE,"Error 1.2",IF(K37&lt;0,"Error 1.3",""))))</f>
      </c>
      <c r="AN37" s="660">
        <f>IF(AND(M37="",$H$1&lt;&gt;"*"),"",IF(AND(M37="",$H$1="*"),"Error 1.1",IF(ISNUMBER(M37)=FALSE,"Error 1.2",IF(M37&lt;0,"Error 1.3",""))))</f>
      </c>
      <c r="AP37" s="660">
        <f>IF(AND(O37="",$H$1&lt;&gt;"*"),"",IF(AND(O37="",$H$1="*"),"Error 1.1",IF(ISNUMBER(O37)=FALSE,"Error 1.2","")))</f>
      </c>
      <c r="AR37" s="660">
        <f>IF(AND(Q37="",$H$1&lt;&gt;"*"),"",IF(AND(Q37="",$H$1="*"),"Error 1.1",IF(ISNUMBER(Q37)=FALSE,"Error 1.2",IF(Q37&lt;0,"Error 1.3",""))))</f>
      </c>
      <c r="AT37" s="660">
        <f>IF(AND(S37="",$H$1&lt;&gt;"*"),"",IF(AND(S37="",$H$1="*"),"Error 1.1",IF(ISNUMBER(S37)=FALSE,"Error 1.2",IF(S37&lt;0,"Error 1.3",""))))</f>
      </c>
      <c r="AU37" s="605">
        <f>IF(LEN(TRIM(AH37&amp;AJ37&amp;AL37&amp;AN37&amp;AP37&amp;AR37&amp;AT37))&gt;0,1,0)</f>
        <v>0</v>
      </c>
    </row>
    <row r="38" spans="2:47" ht="12.75">
      <c r="B38" s="793" t="s">
        <v>727</v>
      </c>
      <c r="C38" s="810" t="s">
        <v>728</v>
      </c>
      <c r="D38" s="811"/>
      <c r="E38" s="811"/>
      <c r="F38" s="794"/>
      <c r="G38" s="812"/>
      <c r="I38" s="647"/>
      <c r="K38" s="649">
        <v>79230</v>
      </c>
      <c r="M38" s="649">
        <v>0</v>
      </c>
      <c r="O38" s="646">
        <f>SUM(G38:M38)</f>
        <v>79230</v>
      </c>
      <c r="Q38" s="649">
        <v>0</v>
      </c>
      <c r="S38" s="646">
        <f>IF(ISERROR(O38-Q38),0,O38-Q38)</f>
        <v>79230</v>
      </c>
      <c r="T38" s="657"/>
      <c r="U38" s="657"/>
      <c r="V38" s="657"/>
      <c r="W38" s="657"/>
      <c r="X38" s="657"/>
      <c r="Y38" s="657"/>
      <c r="AC38" s="761" t="str">
        <f t="shared" si="16"/>
        <v>1.3.4</v>
      </c>
      <c r="AD38" s="950" t="str">
        <f t="shared" si="16"/>
        <v>14 - 16 More practical learning options</v>
      </c>
      <c r="AE38" s="950"/>
      <c r="AF38" s="950"/>
      <c r="AH38" s="813"/>
      <c r="AJ38" s="814"/>
      <c r="AL38" s="660">
        <f>IF(AND(K38="",$H$1&lt;&gt;"*"),"",IF(AND(K38="",$H$1="*"),"Error 1.1",IF(ISNUMBER(K38)=FALSE,"Error 1.2",IF(K38&lt;0,"Error 1.3",""))))</f>
      </c>
      <c r="AN38" s="660">
        <f>IF(AND(M38="",$H$1&lt;&gt;"*"),"",IF(AND(M38="",$H$1="*"),"Error 1.1",IF(ISNUMBER(M38)=FALSE,"Error 1.2",IF(M38&lt;0,"Error 1.3",""))))</f>
      </c>
      <c r="AP38" s="660">
        <f>IF(AND(O38="",$H$1&lt;&gt;"*"),"",IF(AND(O38="",$H$1="*"),"Error 1.1",IF(ISNUMBER(O38)=FALSE,"Error 1.2","")))</f>
      </c>
      <c r="AR38" s="660">
        <f>IF(AND(Q38="",$H$1&lt;&gt;"*"),"",IF(AND(Q38="",$H$1="*"),"Error 1.1",IF(ISNUMBER(Q38)=FALSE,"Error 1.2",IF(Q38&lt;0,"Error 1.3",""))))</f>
      </c>
      <c r="AT38" s="660">
        <f>IF(AND(S38="",$H$1&lt;&gt;"*"),"",IF(AND(S38="",$H$1="*"),"Error 1.1",IF(ISNUMBER(S38)=FALSE,"Error 1.2",IF(S38&lt;0,"Error 1.3",""))))</f>
      </c>
      <c r="AU38" s="815"/>
    </row>
    <row r="39" spans="2:47" ht="12.75" customHeight="1">
      <c r="B39" s="816" t="s">
        <v>729</v>
      </c>
      <c r="C39" s="949" t="s">
        <v>730</v>
      </c>
      <c r="D39" s="949"/>
      <c r="E39" s="949"/>
      <c r="F39" s="801"/>
      <c r="G39" s="649">
        <v>439091</v>
      </c>
      <c r="I39" s="778"/>
      <c r="K39" s="778"/>
      <c r="M39" s="778"/>
      <c r="O39" s="646">
        <f>SUM(G39:M39)</f>
        <v>439091</v>
      </c>
      <c r="Q39" s="649">
        <v>0</v>
      </c>
      <c r="S39" s="646">
        <f>IF(ISERROR(O39-Q39),0,O39-Q39)</f>
        <v>439091</v>
      </c>
      <c r="T39" s="657"/>
      <c r="U39" s="657"/>
      <c r="V39" s="657"/>
      <c r="W39" s="657"/>
      <c r="X39" s="657"/>
      <c r="Y39" s="657"/>
      <c r="AC39" s="761" t="str">
        <f t="shared" si="16"/>
        <v>1.3.5</v>
      </c>
      <c r="AD39" s="950" t="str">
        <f t="shared" si="16"/>
        <v>Central expenditure on education of children under 5s</v>
      </c>
      <c r="AE39" s="950"/>
      <c r="AF39" s="950"/>
      <c r="AH39" s="660">
        <f>IF(AND(G39="",$H$1&lt;&gt;"*"),"",IF(AND(G39="",$H$1="*"),"Error 1.1",IF(ISNUMBER(G39)=FALSE,"Error 1.2",IF(G39&lt;0,"Error 1.3",""))))</f>
      </c>
      <c r="AJ39" s="778"/>
      <c r="AL39" s="778"/>
      <c r="AN39" s="778"/>
      <c r="AP39" s="660">
        <f>IF(AND(O39="",$H$1&lt;&gt;"*"),"",IF(AND(O39="",$H$1="*"),"Error 1.1",IF(ISNUMBER(O39)=FALSE,"Error 1.2","")))</f>
      </c>
      <c r="AR39" s="660">
        <f>IF(AND(Q39="",$H$1&lt;&gt;"*"),"",IF(AND(Q39="",$H$1="*"),"Error 1.1",IF(ISNUMBER(Q39)=FALSE,"Error 1.2",IF(Q39&lt;0,"Error 1.3",""))))</f>
      </c>
      <c r="AT39" s="660">
        <f>IF(AND(S39="",$H$1&lt;&gt;"*"),"",IF(AND(S39="",$H$1="*"),"Error 1.1",IF(ISNUMBER(S39)=FALSE,"Error 1.2",IF(S39&lt;0,"Error 1.3",""))))</f>
      </c>
      <c r="AU39" s="605">
        <f>IF(LEN(TRIM(AH39&amp;AJ39&amp;AL39&amp;AN39&amp;AP39&amp;AR39&amp;AT39))&gt;0,1,0)</f>
        <v>0</v>
      </c>
    </row>
    <row r="40" spans="2:48" ht="12.75">
      <c r="B40" s="793"/>
      <c r="C40" s="817"/>
      <c r="D40" s="817"/>
      <c r="E40" s="817"/>
      <c r="F40" s="794"/>
      <c r="G40" s="670"/>
      <c r="Q40" s="718"/>
      <c r="AG40" s="154"/>
      <c r="AH40" s="741"/>
      <c r="AI40" s="154"/>
      <c r="AJ40" s="154"/>
      <c r="AK40" s="154"/>
      <c r="AL40" s="154"/>
      <c r="AM40" s="154"/>
      <c r="AN40" s="741"/>
      <c r="AO40" s="154"/>
      <c r="AP40" s="741"/>
      <c r="AQ40" s="154"/>
      <c r="AR40" s="741"/>
      <c r="AS40" s="154"/>
      <c r="AT40" s="741"/>
      <c r="AU40" s="154"/>
      <c r="AV40" s="154"/>
    </row>
    <row r="41" spans="2:47" ht="12.75">
      <c r="B41" s="793" t="s">
        <v>731</v>
      </c>
      <c r="C41" s="949" t="s">
        <v>732</v>
      </c>
      <c r="D41" s="949"/>
      <c r="E41" s="949"/>
      <c r="F41" s="794"/>
      <c r="G41" s="649">
        <v>0</v>
      </c>
      <c r="I41" s="649">
        <v>2947961.019448384</v>
      </c>
      <c r="K41" s="778"/>
      <c r="M41" s="649">
        <v>102240.98055161592</v>
      </c>
      <c r="O41" s="646">
        <f>SUM(G41:M41)</f>
        <v>3050202</v>
      </c>
      <c r="Q41" s="649">
        <v>2283344</v>
      </c>
      <c r="S41" s="646">
        <f>IF(ISERROR(O41-Q41),0,O41-Q41)</f>
        <v>766858</v>
      </c>
      <c r="T41" s="657"/>
      <c r="U41" s="657"/>
      <c r="V41" s="657"/>
      <c r="W41" s="657"/>
      <c r="X41" s="657"/>
      <c r="Y41" s="657"/>
      <c r="AC41" s="761" t="str">
        <f aca="true" t="shared" si="17" ref="AC41:AD44">B41</f>
        <v>1.4.1</v>
      </c>
      <c r="AD41" s="950" t="str">
        <f t="shared" si="17"/>
        <v>School Meals  - nursery, primary and special schools</v>
      </c>
      <c r="AE41" s="950"/>
      <c r="AF41" s="950"/>
      <c r="AH41" s="660">
        <f>IF(AND(G41="",$H$1&lt;&gt;"*"),"",IF(AND(G41="",$H$1="*"),"Error 1.1",IF(ISNUMBER(G41)=FALSE,"Error 1.2",IF(G41&lt;0,"Error 1.3",""))))</f>
      </c>
      <c r="AJ41" s="660">
        <f>IF(AND(I41="",$H$1&lt;&gt;"*"),"",IF(AND(I41="",$H$1="*"),"Error 1.1",IF(ISNUMBER(I41)=FALSE,"Error 1.2",IF(I41&lt;0,"Error 1.3",""))))</f>
      </c>
      <c r="AL41" s="778"/>
      <c r="AN41" s="660">
        <f>IF(AND(M41="",$H$1&lt;&gt;"*"),"",IF(AND(M41="",$H$1="*"),"Error 1.1",IF(ISNUMBER(M41)=FALSE,"Error 1.2",IF(M41&lt;0,"Error 1.3",""))))</f>
      </c>
      <c r="AP41" s="660">
        <f>IF(AND(O41="",$H$1&lt;&gt;"*"),"",IF(AND(O41="",$H$1="*"),"Error 1.1",IF(ISNUMBER(O41)=FALSE,"Error 1.2","")))</f>
      </c>
      <c r="AR41" s="660">
        <f>IF(AND(Q41="",$H$1&lt;&gt;"*"),"",IF(AND(Q41="",$H$1="*"),"Error 1.1",IF(ISNUMBER(Q41)=FALSE,"Error 1.2",IF(Q41&lt;0,"Error 1.3",""))))</f>
      </c>
      <c r="AT41" s="660">
        <f>IF(AND(S41="",$H$1&lt;&gt;"*"),"",IF(AND(S41="",$H$1="*"),"Error 1.1",IF(ISNUMBER(S41)=FALSE,"Error 1.2",IF(S41&lt;0,"Error 1.3",""))))</f>
      </c>
      <c r="AU41" s="605">
        <f>IF(LEN(TRIM(AH41&amp;AJ41&amp;AL41&amp;AN41&amp;AP41&amp;AR41&amp;AT41))&gt;0,1,0)</f>
        <v>0</v>
      </c>
    </row>
    <row r="42" spans="2:47" ht="12.75">
      <c r="B42" s="793" t="s">
        <v>733</v>
      </c>
      <c r="C42" s="949" t="s">
        <v>734</v>
      </c>
      <c r="D42" s="949"/>
      <c r="E42" s="949"/>
      <c r="F42" s="794"/>
      <c r="G42" s="649">
        <v>0</v>
      </c>
      <c r="I42" s="649">
        <v>20889.059666748344</v>
      </c>
      <c r="K42" s="649">
        <v>13659.329943641265</v>
      </c>
      <c r="M42" s="649">
        <v>1133.6103896103896</v>
      </c>
      <c r="O42" s="646">
        <f>SUM(G42:M42)</f>
        <v>35682</v>
      </c>
      <c r="Q42" s="649">
        <v>0</v>
      </c>
      <c r="S42" s="646">
        <f>IF(ISERROR(O42-Q42),0,O42-Q42)</f>
        <v>35682</v>
      </c>
      <c r="T42" s="657"/>
      <c r="U42" s="657"/>
      <c r="V42" s="657"/>
      <c r="W42" s="657"/>
      <c r="X42" s="657"/>
      <c r="Y42" s="657"/>
      <c r="AC42" s="761" t="str">
        <f t="shared" si="17"/>
        <v>1.4.2</v>
      </c>
      <c r="AD42" s="950" t="str">
        <f t="shared" si="17"/>
        <v>Free school meals -  eligibility</v>
      </c>
      <c r="AE42" s="950"/>
      <c r="AF42" s="950"/>
      <c r="AH42" s="660">
        <f>IF(AND(G42="",$H$1&lt;&gt;"*"),"",IF(AND(G42="",$H$1="*"),"Error 1.1",IF(ISNUMBER(G42)=FALSE,"Error 1.2",IF(G42&lt;0,"Error 1.3",""))))</f>
      </c>
      <c r="AJ42" s="660">
        <f>IF(AND(I42="",$H$1&lt;&gt;"*"),"",IF(AND(I42="",$H$1="*"),"Error 1.1",IF(ISNUMBER(I42)=FALSE,"Error 1.2",IF(I42&lt;0,"Error 1.3",""))))</f>
      </c>
      <c r="AL42" s="660">
        <f>IF(AND(K42="",$H$1&lt;&gt;"*"),"",IF(AND(K42="",$H$1="*"),"Error 1.1",IF(ISNUMBER(K42)=FALSE,"Error 1.2",IF(K42&lt;0,"Error 1.3",""))))</f>
      </c>
      <c r="AN42" s="660">
        <f>IF(AND(M42="",$H$1&lt;&gt;"*"),"",IF(AND(M42="",$H$1="*"),"Error 1.1",IF(ISNUMBER(M42)=FALSE,"Error 1.2",IF(M42&lt;0,"Error 1.3",""))))</f>
      </c>
      <c r="AP42" s="660">
        <f>IF(AND(O42="",$H$1&lt;&gt;"*"),"",IF(AND(O42="",$H$1="*"),"Error 1.1",IF(ISNUMBER(O42)=FALSE,"Error 1.2","")))</f>
      </c>
      <c r="AR42" s="660">
        <f>IF(AND(Q42="",$H$1&lt;&gt;"*"),"",IF(AND(Q42="",$H$1="*"),"Error 1.1",IF(ISNUMBER(Q42)=FALSE,"Error 1.2",IF(Q42&lt;0,"Error 1.3",""))))</f>
      </c>
      <c r="AT42" s="660">
        <f>IF(AND(S42="",$H$1&lt;&gt;"*"),"",IF(AND(S42="",$H$1="*"),"Error 1.1",IF(ISNUMBER(S42)=FALSE,"Error 1.2",IF(S42&lt;0,"Error 1.3",""))))</f>
      </c>
      <c r="AU42" s="605">
        <f>IF(LEN(TRIM(AH42&amp;AJ42&amp;AL42&amp;AN42&amp;AP42&amp;AR42&amp;AT42))&gt;0,1,0)</f>
        <v>0</v>
      </c>
    </row>
    <row r="43" spans="2:47" ht="12.75">
      <c r="B43" s="793" t="s">
        <v>735</v>
      </c>
      <c r="C43" s="949" t="s">
        <v>736</v>
      </c>
      <c r="D43" s="949"/>
      <c r="E43" s="949"/>
      <c r="F43" s="794"/>
      <c r="G43" s="649">
        <v>0</v>
      </c>
      <c r="I43" s="649">
        <v>69428</v>
      </c>
      <c r="K43" s="778"/>
      <c r="M43" s="649">
        <v>0</v>
      </c>
      <c r="O43" s="646">
        <f>SUM(G43:M43)</f>
        <v>69428</v>
      </c>
      <c r="Q43" s="649">
        <v>61260</v>
      </c>
      <c r="S43" s="646">
        <f>IF(ISERROR(O43-Q43),0,O43-Q43)</f>
        <v>8168</v>
      </c>
      <c r="T43" s="657"/>
      <c r="U43" s="657"/>
      <c r="V43" s="657"/>
      <c r="W43" s="657"/>
      <c r="X43" s="657"/>
      <c r="Y43" s="657"/>
      <c r="AC43" s="761" t="str">
        <f t="shared" si="17"/>
        <v>1.4.3</v>
      </c>
      <c r="AD43" s="950" t="str">
        <f t="shared" si="17"/>
        <v>Milk</v>
      </c>
      <c r="AE43" s="950"/>
      <c r="AF43" s="950"/>
      <c r="AH43" s="660">
        <f>IF(AND(G43="",$H$1&lt;&gt;"*"),"",IF(AND(G43="",$H$1="*"),"Error 1.1",IF(ISNUMBER(G43)=FALSE,"Error 1.2",IF(G43&lt;0,"Error 1.3",""))))</f>
      </c>
      <c r="AJ43" s="660">
        <f>IF(AND(I43="",$H$1&lt;&gt;"*"),"",IF(AND(I43="",$H$1="*"),"Error 1.1",IF(ISNUMBER(I43)=FALSE,"Error 1.2",IF(I43&lt;0,"Error 1.3",""))))</f>
      </c>
      <c r="AL43" s="778"/>
      <c r="AN43" s="660">
        <f>IF(AND(M43="",$H$1&lt;&gt;"*"),"",IF(AND(M43="",$H$1="*"),"Error 1.1",IF(ISNUMBER(M43)=FALSE,"Error 1.2",IF(M43&lt;0,"Error 1.3",""))))</f>
      </c>
      <c r="AP43" s="660">
        <f>IF(AND(O43="",$H$1&lt;&gt;"*"),"",IF(AND(O43="",$H$1="*"),"Error 1.1",IF(ISNUMBER(O43)=FALSE,"Error 1.2","")))</f>
      </c>
      <c r="AR43" s="660">
        <f>IF(AND(Q43="",$H$1&lt;&gt;"*"),"",IF(AND(Q43="",$H$1="*"),"Error 1.1",IF(ISNUMBER(Q43)=FALSE,"Error 1.2",IF(Q43&lt;0,"Error 1.3",""))))</f>
      </c>
      <c r="AT43" s="660">
        <f>IF(AND(S43="",$H$1&lt;&gt;"*"),"",IF(AND(S43="",$H$1="*"),"Error 1.1",IF(ISNUMBER(S43)=FALSE,"Error 1.2",IF(S43&lt;0,"Error 1.3",""))))</f>
      </c>
      <c r="AU43" s="605">
        <f>IF(LEN(TRIM(AH43&amp;AJ43&amp;AL43&amp;AN43&amp;AP43&amp;AR43&amp;AT43))&gt;0,1,0)</f>
        <v>0</v>
      </c>
    </row>
    <row r="44" spans="2:47" ht="12.75">
      <c r="B44" s="793" t="s">
        <v>737</v>
      </c>
      <c r="C44" s="949" t="s">
        <v>738</v>
      </c>
      <c r="D44" s="949"/>
      <c r="E44" s="949"/>
      <c r="F44" s="794"/>
      <c r="G44" s="649">
        <v>0</v>
      </c>
      <c r="I44" s="649">
        <v>0</v>
      </c>
      <c r="K44" s="778"/>
      <c r="M44" s="649">
        <v>0</v>
      </c>
      <c r="O44" s="646">
        <f>SUM(G44:M44)</f>
        <v>0</v>
      </c>
      <c r="Q44" s="649">
        <v>0</v>
      </c>
      <c r="S44" s="646">
        <f>IF(ISERROR(O44-Q44),0,O44-Q44)</f>
        <v>0</v>
      </c>
      <c r="T44" s="657"/>
      <c r="U44" s="657"/>
      <c r="V44" s="657"/>
      <c r="W44" s="657"/>
      <c r="X44" s="657"/>
      <c r="Y44" s="657"/>
      <c r="AC44" s="761" t="str">
        <f t="shared" si="17"/>
        <v>1.4.4</v>
      </c>
      <c r="AD44" s="950" t="str">
        <f t="shared" si="17"/>
        <v>School kitchens  -  repair and maintenance</v>
      </c>
      <c r="AE44" s="950"/>
      <c r="AF44" s="950"/>
      <c r="AH44" s="660">
        <f>IF(AND(G44="",$H$1&lt;&gt;"*"),"",IF(AND(G44="",$H$1="*"),"Error 1.1",IF(ISNUMBER(G44)=FALSE,"Error 1.2",IF(G44&lt;0,"Error 1.3",""))))</f>
      </c>
      <c r="AJ44" s="660">
        <f>IF(AND(I44="",$H$1&lt;&gt;"*"),"",IF(AND(I44="",$H$1="*"),"Error 1.1",IF(ISNUMBER(I44)=FALSE,"Error 1.2",IF(I44&lt;0,"Error 1.3",""))))</f>
      </c>
      <c r="AL44" s="778"/>
      <c r="AN44" s="660">
        <f>IF(AND(M44="",$H$1&lt;&gt;"*"),"",IF(AND(M44="",$H$1="*"),"Error 1.1",IF(ISNUMBER(M44)=FALSE,"Error 1.2",IF(M44&lt;0,"Error 1.3",""))))</f>
      </c>
      <c r="AP44" s="660">
        <f>IF(AND(O44="",$H$1&lt;&gt;"*"),"",IF(AND(O44="",$H$1="*"),"Error 1.1",IF(ISNUMBER(O44)=FALSE,"Error 1.2","")))</f>
      </c>
      <c r="AR44" s="660">
        <f>IF(AND(Q44="",$H$1&lt;&gt;"*"),"",IF(AND(Q44="",$H$1="*"),"Error 1.1",IF(ISNUMBER(Q44)=FALSE,"Error 1.2",IF(Q44&lt;0,"Error 1.3",""))))</f>
      </c>
      <c r="AT44" s="660">
        <f>IF(AND(S44="",$H$1&lt;&gt;"*"),"",IF(AND(S44="",$H$1="*"),"Error 1.1",IF(ISNUMBER(S44)=FALSE,"Error 1.2",IF(S44&lt;0,"Error 1.3",""))))</f>
      </c>
      <c r="AU44" s="605">
        <f>IF(LEN(TRIM(AH44&amp;AJ44&amp;AL44&amp;AN44&amp;AP44&amp;AR44&amp;AT44))&gt;0,1,0)</f>
        <v>0</v>
      </c>
    </row>
    <row r="45" spans="2:46" ht="12.75">
      <c r="B45" s="36"/>
      <c r="C45" s="802"/>
      <c r="D45" s="802"/>
      <c r="E45" s="802"/>
      <c r="F45" s="670"/>
      <c r="G45" s="670"/>
      <c r="M45" s="718"/>
      <c r="Q45" s="718"/>
      <c r="AG45" s="154"/>
      <c r="AH45" s="741"/>
      <c r="AI45" s="154"/>
      <c r="AJ45" s="741"/>
      <c r="AK45" s="154"/>
      <c r="AL45" s="154"/>
      <c r="AM45" s="154"/>
      <c r="AN45" s="741"/>
      <c r="AO45" s="154"/>
      <c r="AP45" s="741"/>
      <c r="AQ45" s="154"/>
      <c r="AR45" s="741"/>
      <c r="AS45" s="154"/>
      <c r="AT45" s="741"/>
    </row>
    <row r="46" spans="2:47" ht="12" customHeight="1">
      <c r="B46" s="793" t="s">
        <v>739</v>
      </c>
      <c r="C46" s="949" t="s">
        <v>740</v>
      </c>
      <c r="D46" s="949"/>
      <c r="E46" s="949"/>
      <c r="F46" s="670"/>
      <c r="G46" s="649">
        <v>0</v>
      </c>
      <c r="I46" s="649">
        <v>303798.79499251687</v>
      </c>
      <c r="K46" s="649">
        <v>326347.88254552253</v>
      </c>
      <c r="M46" s="649">
        <v>27326.322461960586</v>
      </c>
      <c r="O46" s="646">
        <f aca="true" t="shared" si="18" ref="O46:O54">SUM(G46:M46)</f>
        <v>657473</v>
      </c>
      <c r="Q46" s="649">
        <v>0</v>
      </c>
      <c r="S46" s="646">
        <f aca="true" t="shared" si="19" ref="S46:S54">IF(ISERROR(O46-Q46),0,O46-Q46)</f>
        <v>657473</v>
      </c>
      <c r="T46" s="657"/>
      <c r="U46" s="657"/>
      <c r="V46" s="657"/>
      <c r="W46" s="657"/>
      <c r="X46" s="657"/>
      <c r="Y46" s="657"/>
      <c r="AC46" s="761" t="str">
        <f aca="true" t="shared" si="20" ref="AC46:AC54">B46</f>
        <v>1.5.1</v>
      </c>
      <c r="AD46" s="950" t="str">
        <f aca="true" t="shared" si="21" ref="AD46:AD54">C46</f>
        <v>Insurance</v>
      </c>
      <c r="AE46" s="950"/>
      <c r="AF46" s="950"/>
      <c r="AH46" s="660">
        <f aca="true" t="shared" si="22" ref="AH46:AH54">IF(AND(G46="",$H$1&lt;&gt;"*"),"",IF(AND(G46="",$H$1="*"),"Error 1.1",IF(ISNUMBER(G46)=FALSE,"Error 1.2",IF(G46&lt;0,"Error 1.3",""))))</f>
      </c>
      <c r="AJ46" s="660">
        <f aca="true" t="shared" si="23" ref="AJ46:AJ54">IF(AND(I46="",$H$1&lt;&gt;"*"),"",IF(AND(I46="",$H$1="*"),"Error 1.1",IF(ISNUMBER(I46)=FALSE,"Error 1.2",IF(I46&lt;0,"Error 1.3",""))))</f>
      </c>
      <c r="AL46" s="660">
        <f aca="true" t="shared" si="24" ref="AL46:AL54">IF(AND(K46="",$H$1&lt;&gt;"*"),"",IF(AND(K46="",$H$1="*"),"Error 1.1",IF(ISNUMBER(K46)=FALSE,"Error 1.2",IF(K46&lt;0,"Error 1.3",""))))</f>
      </c>
      <c r="AN46" s="660">
        <f aca="true" t="shared" si="25" ref="AN46:AN54">IF(AND(M46="",$H$1&lt;&gt;"*"),"",IF(AND(M46="",$H$1="*"),"Error 1.1",IF(ISNUMBER(M46)=FALSE,"Error 1.2",IF(M46&lt;0,"Error 1.3",""))))</f>
      </c>
      <c r="AP46" s="660">
        <f aca="true" t="shared" si="26" ref="AP46:AP54">IF(AND(O46="",$H$1&lt;&gt;"*"),"",IF(AND(O46="",$H$1="*"),"Error 1.1",IF(ISNUMBER(O46)=FALSE,"Error 1.2","")))</f>
      </c>
      <c r="AR46" s="660">
        <f aca="true" t="shared" si="27" ref="AR46:AR54">IF(AND(Q46="",$H$1&lt;&gt;"*"),"",IF(AND(Q46="",$H$1="*"),"Error 1.1",IF(ISNUMBER(Q46)=FALSE,"Error 1.2",IF(Q46&lt;0,"Error 1.3",""))))</f>
      </c>
      <c r="AT46" s="660">
        <f>IF(AND(S46="",$H$1&lt;&gt;"*"),"",IF(AND(S46="",$H$1="*"),"Error 1.1",IF(ISNUMBER(S46)=FALSE,"Error 1.2",IF(S46&lt;0,"Error 1.3",""))))</f>
      </c>
      <c r="AU46" s="605">
        <f aca="true" t="shared" si="28" ref="AU46:AU54">IF(LEN(TRIM(AH46&amp;AJ46&amp;AL46&amp;AN46&amp;AP46&amp;AR46&amp;AT46))&gt;0,1,0)</f>
        <v>0</v>
      </c>
    </row>
    <row r="47" spans="2:47" ht="12.75">
      <c r="B47" s="793" t="s">
        <v>741</v>
      </c>
      <c r="C47" s="949" t="s">
        <v>742</v>
      </c>
      <c r="D47" s="949"/>
      <c r="E47" s="949"/>
      <c r="F47" s="670"/>
      <c r="G47" s="649">
        <v>0</v>
      </c>
      <c r="I47" s="649">
        <v>0</v>
      </c>
      <c r="K47" s="649">
        <v>0</v>
      </c>
      <c r="M47" s="649">
        <v>0</v>
      </c>
      <c r="O47" s="646">
        <f t="shared" si="18"/>
        <v>0</v>
      </c>
      <c r="Q47" s="649">
        <v>0</v>
      </c>
      <c r="S47" s="646">
        <f t="shared" si="19"/>
        <v>0</v>
      </c>
      <c r="T47" s="657"/>
      <c r="U47" s="657"/>
      <c r="V47" s="657"/>
      <c r="W47" s="657"/>
      <c r="X47" s="657"/>
      <c r="Y47" s="657"/>
      <c r="AC47" s="761" t="str">
        <f t="shared" si="20"/>
        <v>1.5.2</v>
      </c>
      <c r="AD47" s="950" t="str">
        <f t="shared" si="21"/>
        <v>Museum and Library Services</v>
      </c>
      <c r="AE47" s="950"/>
      <c r="AF47" s="950"/>
      <c r="AH47" s="660">
        <f t="shared" si="22"/>
      </c>
      <c r="AJ47" s="660">
        <f t="shared" si="23"/>
      </c>
      <c r="AL47" s="660">
        <f t="shared" si="24"/>
      </c>
      <c r="AN47" s="660">
        <f t="shared" si="25"/>
      </c>
      <c r="AP47" s="660">
        <f t="shared" si="26"/>
      </c>
      <c r="AR47" s="660">
        <f t="shared" si="27"/>
      </c>
      <c r="AT47" s="660">
        <f>IF(AND(S47="",$H$1&lt;&gt;"*"),"",IF(AND(S47="",$H$1="*"),"Error 1.1",IF(ISNUMBER(S47)=FALSE,"Error 1.2",IF(S47&lt;0,"Error 1.3",""))))</f>
      </c>
      <c r="AU47" s="605">
        <f t="shared" si="28"/>
        <v>0</v>
      </c>
    </row>
    <row r="48" spans="2:47" ht="12.75">
      <c r="B48" s="793" t="s">
        <v>743</v>
      </c>
      <c r="C48" s="949" t="s">
        <v>744</v>
      </c>
      <c r="D48" s="949"/>
      <c r="E48" s="949"/>
      <c r="F48" s="670"/>
      <c r="G48" s="649">
        <v>0</v>
      </c>
      <c r="I48" s="649">
        <v>118916.52799558932</v>
      </c>
      <c r="K48" s="649">
        <v>79278.43304337173</v>
      </c>
      <c r="M48" s="649">
        <v>0.038961038961133454</v>
      </c>
      <c r="O48" s="646">
        <f t="shared" si="18"/>
        <v>198195</v>
      </c>
      <c r="Q48" s="649">
        <v>0</v>
      </c>
      <c r="S48" s="646">
        <f t="shared" si="19"/>
        <v>198195</v>
      </c>
      <c r="T48" s="657"/>
      <c r="U48" s="657"/>
      <c r="V48" s="657"/>
      <c r="W48" s="657"/>
      <c r="X48" s="657"/>
      <c r="Y48" s="657"/>
      <c r="AC48" s="761" t="str">
        <f t="shared" si="20"/>
        <v>1.5.3</v>
      </c>
      <c r="AD48" s="950" t="str">
        <f t="shared" si="21"/>
        <v>School admissions</v>
      </c>
      <c r="AE48" s="950"/>
      <c r="AF48" s="950"/>
      <c r="AH48" s="660">
        <f t="shared" si="22"/>
      </c>
      <c r="AJ48" s="660">
        <f t="shared" si="23"/>
      </c>
      <c r="AL48" s="660">
        <f t="shared" si="24"/>
      </c>
      <c r="AN48" s="660">
        <f t="shared" si="25"/>
      </c>
      <c r="AP48" s="660">
        <f t="shared" si="26"/>
      </c>
      <c r="AR48" s="660">
        <f t="shared" si="27"/>
      </c>
      <c r="AT48" s="660">
        <f>IF(AND(S48="",$H$1&lt;&gt;"*"),"",IF(AND(S48="",$H$1="*"),"Error 1.1",IF(ISNUMBER(S48)=FALSE,"Error 1.2",IF(S48&lt;0,"Error 1.3",""))))</f>
      </c>
      <c r="AU48" s="605">
        <f t="shared" si="28"/>
        <v>0</v>
      </c>
    </row>
    <row r="49" spans="2:47" ht="12.75">
      <c r="B49" s="793" t="s">
        <v>745</v>
      </c>
      <c r="C49" s="949" t="s">
        <v>746</v>
      </c>
      <c r="D49" s="949"/>
      <c r="E49" s="949"/>
      <c r="F49" s="670"/>
      <c r="G49" s="649">
        <v>0</v>
      </c>
      <c r="I49" s="649">
        <v>46791.03409090909</v>
      </c>
      <c r="K49" s="649">
        <v>34387.60227272727</v>
      </c>
      <c r="M49" s="649">
        <v>3291.3636363636365</v>
      </c>
      <c r="O49" s="646">
        <f t="shared" si="18"/>
        <v>84469.99999999999</v>
      </c>
      <c r="Q49" s="649">
        <v>0</v>
      </c>
      <c r="S49" s="646">
        <f t="shared" si="19"/>
        <v>84469.99999999999</v>
      </c>
      <c r="T49" s="657"/>
      <c r="U49" s="657"/>
      <c r="V49" s="657"/>
      <c r="W49" s="657"/>
      <c r="X49" s="657"/>
      <c r="Y49" s="657"/>
      <c r="AC49" s="761" t="str">
        <f t="shared" si="20"/>
        <v>1.5.4</v>
      </c>
      <c r="AD49" s="950" t="str">
        <f t="shared" si="21"/>
        <v>Licences/subscriptions </v>
      </c>
      <c r="AE49" s="950"/>
      <c r="AF49" s="950"/>
      <c r="AH49" s="660">
        <f t="shared" si="22"/>
      </c>
      <c r="AJ49" s="660">
        <f t="shared" si="23"/>
      </c>
      <c r="AL49" s="660">
        <f t="shared" si="24"/>
      </c>
      <c r="AN49" s="660">
        <f t="shared" si="25"/>
      </c>
      <c r="AP49" s="660">
        <f t="shared" si="26"/>
      </c>
      <c r="AR49" s="660">
        <f t="shared" si="27"/>
      </c>
      <c r="AT49" s="660">
        <f>IF(AND(S49="",$H$1&lt;&gt;"*"),"",IF(AND(S49="",$H$1="*"),"Error 1.1",IF(ISNUMBER(S49)=FALSE,"Error 1.2",IF(S49&lt;0,"Error 1.3",""))))</f>
      </c>
      <c r="AU49" s="605">
        <f t="shared" si="28"/>
        <v>0</v>
      </c>
    </row>
    <row r="50" spans="2:47" ht="12.75">
      <c r="B50" s="793" t="s">
        <v>747</v>
      </c>
      <c r="C50" s="949" t="s">
        <v>748</v>
      </c>
      <c r="D50" s="949"/>
      <c r="E50" s="949"/>
      <c r="F50" s="670"/>
      <c r="G50" s="649">
        <v>0</v>
      </c>
      <c r="I50" s="649">
        <v>76467</v>
      </c>
      <c r="K50" s="649">
        <v>0</v>
      </c>
      <c r="M50" s="649">
        <v>0</v>
      </c>
      <c r="O50" s="646">
        <f t="shared" si="18"/>
        <v>76467</v>
      </c>
      <c r="Q50" s="649">
        <v>0</v>
      </c>
      <c r="S50" s="646">
        <f t="shared" si="19"/>
        <v>76467</v>
      </c>
      <c r="T50" s="657"/>
      <c r="U50" s="657"/>
      <c r="V50" s="657"/>
      <c r="W50" s="657"/>
      <c r="X50" s="657"/>
      <c r="Y50" s="657"/>
      <c r="AC50" s="761" t="str">
        <f t="shared" si="20"/>
        <v>1.5.5</v>
      </c>
      <c r="AD50" s="950" t="str">
        <f t="shared" si="21"/>
        <v>Miscellaneous (not more than 0.1% total of net SB)</v>
      </c>
      <c r="AE50" s="950"/>
      <c r="AF50" s="950"/>
      <c r="AH50" s="660">
        <f t="shared" si="22"/>
      </c>
      <c r="AJ50" s="660">
        <f t="shared" si="23"/>
      </c>
      <c r="AL50" s="660">
        <f t="shared" si="24"/>
      </c>
      <c r="AN50" s="660">
        <f t="shared" si="25"/>
      </c>
      <c r="AP50" s="660">
        <f t="shared" si="26"/>
      </c>
      <c r="AR50" s="660">
        <f t="shared" si="27"/>
      </c>
      <c r="AT50" s="660">
        <f>IF(AND(S50="",$H$1&lt;&gt;"*"),"",IF(AND(S50="",$H$1="*"),"Error 1.1",IF(ISNUMBER(S50)=FALSE,"Error 1.2",IF(S50&lt;0,"Error 1.3",IF(S50&gt;(S64*0.1%),"Warning 2.1","")))))</f>
      </c>
      <c r="AU50" s="605">
        <f t="shared" si="28"/>
        <v>0</v>
      </c>
    </row>
    <row r="51" spans="2:47" ht="12.75">
      <c r="B51" s="793" t="s">
        <v>749</v>
      </c>
      <c r="C51" s="949" t="s">
        <v>750</v>
      </c>
      <c r="D51" s="949"/>
      <c r="E51" s="949"/>
      <c r="F51" s="670"/>
      <c r="G51" s="649">
        <v>0</v>
      </c>
      <c r="I51" s="649">
        <v>38945.23854447439</v>
      </c>
      <c r="K51" s="649">
        <v>28621.904312668463</v>
      </c>
      <c r="M51" s="649">
        <v>2738.8571428571427</v>
      </c>
      <c r="O51" s="646">
        <f t="shared" si="18"/>
        <v>70306</v>
      </c>
      <c r="Q51" s="649">
        <v>0</v>
      </c>
      <c r="S51" s="646">
        <f t="shared" si="19"/>
        <v>70306</v>
      </c>
      <c r="T51" s="657"/>
      <c r="U51" s="657"/>
      <c r="V51" s="657"/>
      <c r="W51" s="657"/>
      <c r="X51" s="657"/>
      <c r="Y51" s="657"/>
      <c r="AC51" s="761" t="str">
        <f t="shared" si="20"/>
        <v>1.5.6</v>
      </c>
      <c r="AD51" s="950" t="str">
        <f t="shared" si="21"/>
        <v>Servicing of schools forums</v>
      </c>
      <c r="AE51" s="950"/>
      <c r="AF51" s="950"/>
      <c r="AH51" s="660">
        <f t="shared" si="22"/>
      </c>
      <c r="AJ51" s="660">
        <f t="shared" si="23"/>
      </c>
      <c r="AL51" s="660">
        <f t="shared" si="24"/>
      </c>
      <c r="AN51" s="660">
        <f t="shared" si="25"/>
      </c>
      <c r="AP51" s="660">
        <f t="shared" si="26"/>
      </c>
      <c r="AR51" s="660">
        <f t="shared" si="27"/>
      </c>
      <c r="AT51" s="660">
        <f>IF(AND(S51="",$H$1&lt;&gt;"*"),"",IF(AND(S51="",$H$1="*"),"Error 1.1",IF(ISNUMBER(S51)=FALSE,"Error 1.2",IF(S51&lt;0,"Error 1.3",""))))</f>
      </c>
      <c r="AU51" s="605">
        <f t="shared" si="28"/>
        <v>0</v>
      </c>
    </row>
    <row r="52" spans="2:47" ht="12.75">
      <c r="B52" s="793" t="s">
        <v>751</v>
      </c>
      <c r="C52" s="949" t="s">
        <v>752</v>
      </c>
      <c r="D52" s="949"/>
      <c r="E52" s="949"/>
      <c r="F52" s="670"/>
      <c r="G52" s="649">
        <v>0</v>
      </c>
      <c r="I52" s="649">
        <v>152088.54275912768</v>
      </c>
      <c r="K52" s="649">
        <v>0.49620191129361046</v>
      </c>
      <c r="M52" s="649">
        <v>6165.961038961039</v>
      </c>
      <c r="O52" s="646">
        <f t="shared" si="18"/>
        <v>158255.00000000003</v>
      </c>
      <c r="Q52" s="649">
        <v>0</v>
      </c>
      <c r="S52" s="646">
        <f t="shared" si="19"/>
        <v>158255.00000000003</v>
      </c>
      <c r="T52" s="657"/>
      <c r="U52" s="657"/>
      <c r="V52" s="657"/>
      <c r="W52" s="657"/>
      <c r="X52" s="657"/>
      <c r="Y52" s="657"/>
      <c r="AC52" s="761" t="str">
        <f t="shared" si="20"/>
        <v>1.5.7</v>
      </c>
      <c r="AD52" s="950" t="str">
        <f t="shared" si="21"/>
        <v>Staff costs - supply cover (not sickness)</v>
      </c>
      <c r="AE52" s="950"/>
      <c r="AF52" s="950"/>
      <c r="AH52" s="660">
        <f t="shared" si="22"/>
      </c>
      <c r="AJ52" s="660">
        <f t="shared" si="23"/>
      </c>
      <c r="AL52" s="660">
        <f t="shared" si="24"/>
      </c>
      <c r="AN52" s="660">
        <f t="shared" si="25"/>
      </c>
      <c r="AP52" s="660">
        <f t="shared" si="26"/>
      </c>
      <c r="AR52" s="660">
        <f t="shared" si="27"/>
      </c>
      <c r="AT52" s="660">
        <f>IF(AND(S52="",$H$1&lt;&gt;"*"),"",IF(AND(S52="",$H$1="*"),"Error 1.1",IF(ISNUMBER(S52)=FALSE,"Error 1.2",IF(S52&lt;0,"Error 1.3",""))))</f>
      </c>
      <c r="AU52" s="605">
        <f t="shared" si="28"/>
        <v>0</v>
      </c>
    </row>
    <row r="53" spans="2:47" ht="12.75">
      <c r="B53" s="793" t="s">
        <v>753</v>
      </c>
      <c r="C53" s="949" t="s">
        <v>754</v>
      </c>
      <c r="D53" s="949"/>
      <c r="E53" s="949"/>
      <c r="F53" s="670"/>
      <c r="G53" s="649">
        <v>0</v>
      </c>
      <c r="I53" s="649">
        <v>0</v>
      </c>
      <c r="K53" s="649">
        <v>0</v>
      </c>
      <c r="M53" s="649">
        <v>0</v>
      </c>
      <c r="O53" s="646">
        <f t="shared" si="18"/>
        <v>0</v>
      </c>
      <c r="Q53" s="649">
        <v>0</v>
      </c>
      <c r="S53" s="646">
        <f t="shared" si="19"/>
        <v>0</v>
      </c>
      <c r="T53" s="657"/>
      <c r="U53" s="657"/>
      <c r="V53" s="657"/>
      <c r="W53" s="657"/>
      <c r="X53" s="657"/>
      <c r="Y53" s="657"/>
      <c r="AC53" s="761" t="str">
        <f t="shared" si="20"/>
        <v>1.5.8</v>
      </c>
      <c r="AD53" s="950" t="str">
        <f t="shared" si="21"/>
        <v>Supply cover - long term sickness</v>
      </c>
      <c r="AE53" s="950"/>
      <c r="AF53" s="950"/>
      <c r="AH53" s="660">
        <f t="shared" si="22"/>
      </c>
      <c r="AJ53" s="660">
        <f t="shared" si="23"/>
      </c>
      <c r="AL53" s="660">
        <f t="shared" si="24"/>
      </c>
      <c r="AN53" s="660">
        <f t="shared" si="25"/>
      </c>
      <c r="AP53" s="660">
        <f t="shared" si="26"/>
      </c>
      <c r="AR53" s="660">
        <f t="shared" si="27"/>
      </c>
      <c r="AT53" s="660">
        <f>IF(AND(S53="",$H$1&lt;&gt;"*"),"",IF(AND(S53="",$H$1="*"),"Error 1.1",IF(ISNUMBER(S53)=FALSE,"Error 1.2",IF(S53&lt;0,"Error 1.3",""))))</f>
      </c>
      <c r="AU53" s="605">
        <f t="shared" si="28"/>
        <v>0</v>
      </c>
    </row>
    <row r="54" spans="2:47" ht="12.75">
      <c r="B54" s="793" t="s">
        <v>755</v>
      </c>
      <c r="C54" s="949" t="s">
        <v>756</v>
      </c>
      <c r="D54" s="949"/>
      <c r="E54" s="949"/>
      <c r="F54" s="670"/>
      <c r="G54" s="649">
        <v>0</v>
      </c>
      <c r="I54" s="649">
        <v>0</v>
      </c>
      <c r="K54" s="649">
        <v>0</v>
      </c>
      <c r="M54" s="649">
        <v>0</v>
      </c>
      <c r="O54" s="646">
        <f t="shared" si="18"/>
        <v>0</v>
      </c>
      <c r="Q54" s="649">
        <v>0</v>
      </c>
      <c r="S54" s="646">
        <f t="shared" si="19"/>
        <v>0</v>
      </c>
      <c r="T54" s="657"/>
      <c r="U54" s="657"/>
      <c r="V54" s="657"/>
      <c r="W54" s="657"/>
      <c r="X54" s="657"/>
      <c r="Y54" s="657"/>
      <c r="AC54" s="761" t="str">
        <f t="shared" si="20"/>
        <v>1.5.9</v>
      </c>
      <c r="AD54" s="950" t="str">
        <f t="shared" si="21"/>
        <v>Termination of employment costs</v>
      </c>
      <c r="AE54" s="950"/>
      <c r="AF54" s="950"/>
      <c r="AH54" s="660">
        <f t="shared" si="22"/>
      </c>
      <c r="AJ54" s="660">
        <f t="shared" si="23"/>
      </c>
      <c r="AL54" s="660">
        <f t="shared" si="24"/>
      </c>
      <c r="AN54" s="660">
        <f t="shared" si="25"/>
      </c>
      <c r="AP54" s="660">
        <f t="shared" si="26"/>
      </c>
      <c r="AR54" s="660">
        <f t="shared" si="27"/>
      </c>
      <c r="AT54" s="660">
        <f>IF(AND(S54="",$H$1&lt;&gt;"*"),"",IF(AND(S54="",$H$1="*"),"Error 1.1",IF(ISNUMBER(S54)=FALSE,"Error 1.2",IF(S54&lt;0,"Error 1.3",""))))</f>
      </c>
      <c r="AU54" s="605">
        <f t="shared" si="28"/>
        <v>0</v>
      </c>
    </row>
    <row r="55" spans="2:48" ht="12.75">
      <c r="B55" s="805"/>
      <c r="C55" s="763"/>
      <c r="D55" s="763"/>
      <c r="E55" s="763"/>
      <c r="F55" s="670"/>
      <c r="G55" s="670"/>
      <c r="AG55" s="154"/>
      <c r="AH55" s="741"/>
      <c r="AI55" s="154"/>
      <c r="AJ55" s="741"/>
      <c r="AK55" s="154"/>
      <c r="AL55" s="741"/>
      <c r="AM55" s="154"/>
      <c r="AN55" s="741"/>
      <c r="AP55" s="741"/>
      <c r="AQ55" s="154"/>
      <c r="AR55" s="741"/>
      <c r="AS55" s="154"/>
      <c r="AT55" s="741"/>
      <c r="AU55" s="154"/>
      <c r="AV55" s="154"/>
    </row>
    <row r="56" spans="2:47" ht="12.75">
      <c r="B56" s="793" t="s">
        <v>757</v>
      </c>
      <c r="C56" s="949" t="s">
        <v>758</v>
      </c>
      <c r="D56" s="949"/>
      <c r="E56" s="949"/>
      <c r="F56" s="794"/>
      <c r="G56" s="649">
        <v>0</v>
      </c>
      <c r="I56" s="649">
        <v>7828</v>
      </c>
      <c r="K56" s="649">
        <v>115017</v>
      </c>
      <c r="M56" s="649">
        <v>0</v>
      </c>
      <c r="O56" s="646">
        <f>SUM(G56:M56)</f>
        <v>122845</v>
      </c>
      <c r="Q56" s="649">
        <f>+O56</f>
        <v>122845</v>
      </c>
      <c r="S56" s="646">
        <f>IF(ISERROR(O56-Q56),0,O56-Q56)</f>
        <v>0</v>
      </c>
      <c r="T56" s="657"/>
      <c r="U56" s="657"/>
      <c r="V56" s="657"/>
      <c r="W56" s="657"/>
      <c r="X56" s="657"/>
      <c r="Y56" s="657"/>
      <c r="AC56" s="761" t="str">
        <f aca="true" t="shared" si="29" ref="AC56:AD59">B56</f>
        <v>1.6.1</v>
      </c>
      <c r="AD56" s="950" t="str">
        <f t="shared" si="29"/>
        <v>School Development Grant - Non-Devolved</v>
      </c>
      <c r="AE56" s="950"/>
      <c r="AF56" s="950"/>
      <c r="AH56" s="660">
        <f>IF(AND(G56="",$H$1&lt;&gt;"*"),"",IF(AND(G56="",$H$1="*"),"Error 1.1",IF(ISNUMBER(G56)=FALSE,"Error 1.2",IF(G56&lt;0,"Error 1.3",""))))</f>
      </c>
      <c r="AJ56" s="660">
        <f>IF(AND(I56="",$H$1&lt;&gt;"*"),"",IF(AND(I56="",$H$1="*"),"Error 1.1",IF(ISNUMBER(I56)=FALSE,"Error 1.2",IF(I56&lt;0,"Error 1.3",""))))</f>
      </c>
      <c r="AL56" s="660">
        <f>IF(AND(K56="",$H$1&lt;&gt;"*"),"",IF(AND(K56="",$H$1="*"),"Error 1.1",IF(ISNUMBER(K56)=FALSE,"Error 1.2",IF(K56&lt;0,"Error 1.3",""))))</f>
      </c>
      <c r="AN56" s="660">
        <f>IF(AND(M56="",$H$1&lt;&gt;"*"),"",IF(AND(M56="",$H$1="*"),"Error 1.1",IF(ISNUMBER(M56)=FALSE,"Error 1.2",IF(M56&lt;0,"Error 1.3",""))))</f>
      </c>
      <c r="AP56" s="660">
        <f>IF(AND(O56="",$H$1&lt;&gt;"*"),"",IF(AND(O56="",$H$1="*"),"Error 1.1",IF(ISNUMBER(O56)=FALSE,"Error 1.2","")))</f>
      </c>
      <c r="AR56" s="660">
        <f>IF(AND(Q56="",$H$1&lt;&gt;"*"),"",IF(AND(Q56="",$H$1="*"),"Error 1.1",IF(ISNUMBER(Q56)=FALSE,"Error 1.2",IF(Q56&lt;0,"Error 1.3",""))))</f>
      </c>
      <c r="AT56" s="660">
        <f>IF(AND(S56="",$H$1&lt;&gt;"*"),"",IF(AND(S56="",$H$1="*"),"Error 1.1",IF(ISNUMBER(S56)=FALSE,"Error 1.2",IF(S56&lt;0,"Error 1.3",IF(S56&lt;&gt;0,"Warning 2.3","")))))</f>
      </c>
      <c r="AU56" s="605">
        <f>IF(LEN(TRIM(AH56&amp;AJ56&amp;AL56&amp;AN56&amp;AP56&amp;AR56&amp;AT56))&gt;0,1,0)</f>
        <v>0</v>
      </c>
    </row>
    <row r="57" spans="2:47" ht="12.75">
      <c r="B57" s="793" t="s">
        <v>759</v>
      </c>
      <c r="C57" s="949" t="s">
        <v>760</v>
      </c>
      <c r="D57" s="949"/>
      <c r="E57" s="949"/>
      <c r="F57" s="794"/>
      <c r="G57" s="649">
        <v>1135683</v>
      </c>
      <c r="I57" s="649">
        <v>282353.3941457529</v>
      </c>
      <c r="K57" s="649">
        <v>62803</v>
      </c>
      <c r="M57" s="649">
        <v>5571</v>
      </c>
      <c r="O57" s="646">
        <f>SUM(G57:M57)</f>
        <v>1486410.3941457528</v>
      </c>
      <c r="Q57" s="649">
        <f>+O57</f>
        <v>1486410.3941457528</v>
      </c>
      <c r="S57" s="646">
        <f>IF(ISERROR(O57-Q57),0,O57-Q57)</f>
        <v>0</v>
      </c>
      <c r="T57" s="657"/>
      <c r="U57" s="657"/>
      <c r="V57" s="657"/>
      <c r="W57" s="657"/>
      <c r="X57" s="657"/>
      <c r="Y57" s="657"/>
      <c r="AC57" s="761" t="str">
        <f t="shared" si="29"/>
        <v>1.6.2</v>
      </c>
      <c r="AD57" s="950" t="str">
        <f t="shared" si="29"/>
        <v>Other Standards Fund Allocation - Non-Devolved</v>
      </c>
      <c r="AE57" s="950"/>
      <c r="AF57" s="950"/>
      <c r="AH57" s="660">
        <f>IF(AND(G57="",$H$1&lt;&gt;"*"),"",IF(AND(G57="",$H$1="*"),"Error 1.1",IF(ISNUMBER(G57)=FALSE,"Error 1.2",IF(G57&lt;0,"Error 1.3",""))))</f>
      </c>
      <c r="AJ57" s="660">
        <f>IF(AND(I57="",$H$1&lt;&gt;"*"),"",IF(AND(I57="",$H$1="*"),"Error 1.1",IF(ISNUMBER(I57)=FALSE,"Error 1.2",IF(I57&lt;0,"Error 1.3",""))))</f>
      </c>
      <c r="AL57" s="660">
        <f>IF(AND(K57="",$H$1&lt;&gt;"*"),"",IF(AND(K57="",$H$1="*"),"Error 1.1",IF(ISNUMBER(K57)=FALSE,"Error 1.2",IF(K57&lt;0,"Error 1.3",""))))</f>
      </c>
      <c r="AN57" s="660">
        <f>IF(AND(M57="",$H$1&lt;&gt;"*"),"",IF(AND(M57="",$H$1="*"),"Error 1.1",IF(ISNUMBER(M57)=FALSE,"Error 1.2",IF(M57&lt;0,"Error 1.3",""))))</f>
      </c>
      <c r="AP57" s="660">
        <f>IF(AND(O57="",$H$1&lt;&gt;"*"),"",IF(AND(O57="",$H$1="*"),"Error 1.1",IF(ISNUMBER(O57)=FALSE,"Error 1.2","")))</f>
      </c>
      <c r="AR57" s="660">
        <f>IF(AND(Q57="",$H$1&lt;&gt;"*"),"",IF(AND(Q57="",$H$1="*"),"Error 1.1",IF(ISNUMBER(Q57)=FALSE,"Error 1.2",IF(Q57&lt;0,"Error 1.3",""))))</f>
      </c>
      <c r="AT57" s="660">
        <f>IF(AND(S57="",$H$1&lt;&gt;"*"),"",IF(AND(S57="",$H$1="*"),"Error 1.1",IF(ISNUMBER(S57)=FALSE,"Error 1.2",IF(S57&lt;0,"Error 1.3",""))))</f>
      </c>
      <c r="AU57" s="605">
        <f>IF(LEN(TRIM(AH57&amp;AJ57&amp;AL57&amp;AN57&amp;AP57&amp;AR57&amp;AT57))&gt;0,1,0)</f>
        <v>0</v>
      </c>
    </row>
    <row r="58" spans="2:47" ht="12.75">
      <c r="B58" s="793" t="s">
        <v>761</v>
      </c>
      <c r="C58" s="949" t="s">
        <v>762</v>
      </c>
      <c r="D58" s="949"/>
      <c r="E58" s="949"/>
      <c r="F58" s="794"/>
      <c r="G58" s="649">
        <v>0</v>
      </c>
      <c r="I58" s="649">
        <v>0</v>
      </c>
      <c r="K58" s="649">
        <v>0</v>
      </c>
      <c r="M58" s="649">
        <v>0</v>
      </c>
      <c r="O58" s="646">
        <f>SUM(G58:M58)</f>
        <v>0</v>
      </c>
      <c r="Q58" s="649">
        <v>0</v>
      </c>
      <c r="S58" s="646">
        <f>IF(ISERROR(O58-Q58),0,O58-Q58)</f>
        <v>0</v>
      </c>
      <c r="T58" s="657"/>
      <c r="U58" s="657"/>
      <c r="V58" s="657"/>
      <c r="W58" s="657"/>
      <c r="X58" s="657"/>
      <c r="Y58" s="657"/>
      <c r="AC58" s="761" t="str">
        <f t="shared" si="29"/>
        <v>1.6.3</v>
      </c>
      <c r="AD58" s="950" t="str">
        <f t="shared" si="29"/>
        <v>Other Specific Grants</v>
      </c>
      <c r="AE58" s="950"/>
      <c r="AF58" s="950"/>
      <c r="AH58" s="660">
        <f>IF(AND(G58="",$H$1&lt;&gt;"*"),"",IF(AND(G58="",$H$1="*"),"Error 1.1",IF(ISNUMBER(G58)=FALSE,"Error 1.2",IF(G58&lt;0,"Error 1.3",""))))</f>
      </c>
      <c r="AJ58" s="660">
        <f>IF(AND(I58="",$H$1&lt;&gt;"*"),"",IF(AND(I58="",$H$1="*"),"Error 1.1",IF(ISNUMBER(I58)=FALSE,"Error 1.2",IF(I58&lt;0,"Error 1.3",""))))</f>
      </c>
      <c r="AL58" s="660">
        <f>IF(AND(K58="",$H$1&lt;&gt;"*"),"",IF(AND(K58="",$H$1="*"),"Error 1.1",IF(ISNUMBER(K58)=FALSE,"Error 1.2",IF(K58&lt;0,"Error 1.3",""))))</f>
      </c>
      <c r="AN58" s="660">
        <f>IF(AND(M58="",$H$1&lt;&gt;"*"),"",IF(AND(M58="",$H$1="*"),"Error 1.1",IF(ISNUMBER(M58)=FALSE,"Error 1.2",IF(M58&lt;0,"Error 1.3",""))))</f>
      </c>
      <c r="AP58" s="660">
        <f>IF(AND(O58="",$H$1&lt;&gt;"*"),"",IF(AND(O58="",$H$1="*"),"Error 1.1",IF(ISNUMBER(O58)=FALSE,"Error 1.2","")))</f>
      </c>
      <c r="AR58" s="660">
        <f>IF(AND(Q58="",$H$1&lt;&gt;"*"),"",IF(AND(Q58="",$H$1="*"),"Error 1.1",IF(ISNUMBER(Q58)=FALSE,"Error 1.2",IF(Q58&lt;0,"Error 1.3",""))))</f>
      </c>
      <c r="AT58" s="660">
        <f>IF(AND(S58="",$H$1&lt;&gt;"*"),"",IF(AND(S58="",$H$1="*"),"Error 1.1",IF(ISNUMBER(S58)=FALSE,"Error 1.2",IF(S58&lt;0,"Error 1.3",""))))</f>
      </c>
      <c r="AU58" s="605">
        <f>IF(LEN(TRIM(AH58&amp;AJ58&amp;AL58&amp;AN58&amp;AP58&amp;AR58&amp;AT58))&gt;0,1,0)</f>
        <v>0</v>
      </c>
    </row>
    <row r="59" spans="2:47" ht="12.75">
      <c r="B59" s="793" t="s">
        <v>763</v>
      </c>
      <c r="C59" s="949" t="s">
        <v>764</v>
      </c>
      <c r="D59" s="949"/>
      <c r="E59" s="949"/>
      <c r="F59" s="794"/>
      <c r="G59" s="649">
        <v>0</v>
      </c>
      <c r="I59" s="649">
        <v>0</v>
      </c>
      <c r="K59" s="649">
        <v>0</v>
      </c>
      <c r="M59" s="649">
        <v>0</v>
      </c>
      <c r="O59" s="646">
        <f>SUM(G59:M59)</f>
        <v>0</v>
      </c>
      <c r="Q59" s="647"/>
      <c r="S59" s="646">
        <f>IF(ISERROR(O59-Q59),0,O59-Q59)</f>
        <v>0</v>
      </c>
      <c r="T59" s="657"/>
      <c r="U59" s="657"/>
      <c r="V59" s="657"/>
      <c r="W59" s="657"/>
      <c r="X59" s="657"/>
      <c r="Y59" s="657"/>
      <c r="AC59" s="761" t="str">
        <f t="shared" si="29"/>
        <v>1.6.4</v>
      </c>
      <c r="AD59" s="950" t="str">
        <f t="shared" si="29"/>
        <v>Performance Reward Grant</v>
      </c>
      <c r="AE59" s="950"/>
      <c r="AF59" s="950"/>
      <c r="AH59" s="660">
        <f>IF(AND(G59="",$H$1&lt;&gt;"*"),"",IF(AND(G59="",$H$1="*"),"Error 1.1",IF(ISNUMBER(G59)=FALSE,"Error 1.2",IF(G59&lt;0,"Error 1.3",""))))</f>
      </c>
      <c r="AJ59" s="660">
        <f>IF(AND(I59="",$H$1&lt;&gt;"*"),"",IF(AND(I59="",$H$1="*"),"Error 1.1",IF(ISNUMBER(I59)=FALSE,"Error 1.2",IF(I59&lt;0,"Error 1.3",""))))</f>
      </c>
      <c r="AL59" s="660">
        <f>IF(AND(K59="",$H$1&lt;&gt;"*"),"",IF(AND(K59="",$H$1="*"),"Error 1.1",IF(ISNUMBER(K59)=FALSE,"Error 1.2",IF(K59&lt;0,"Error 1.3",""))))</f>
      </c>
      <c r="AN59" s="660">
        <f>IF(AND(M59="",$H$1&lt;&gt;"*"),"",IF(AND(M59="",$H$1="*"),"Error 1.1",IF(ISNUMBER(M59)=FALSE,"Error 1.2",IF(M59&lt;0,"Error 1.3",""))))</f>
      </c>
      <c r="AP59" s="660">
        <f>IF(AND(O59="",$H$1&lt;&gt;"*"),"",IF(AND(O59="",$H$1="*"),"Error 1.1",IF(ISNUMBER(O59)=FALSE,"Error 1.2","")))</f>
      </c>
      <c r="AR59" s="778"/>
      <c r="AT59" s="660">
        <f>IF(AND(S59="",$H$1&lt;&gt;"*"),"",IF(AND(S59="",$H$1="*"),"Error 1.1",IF(ISNUMBER(S59)=FALSE,"Error 1.2",IF(S59&lt;0,"Error 1.3",""))))</f>
      </c>
      <c r="AU59" s="605">
        <f>IF(LEN(TRIM(AH59&amp;AJ59&amp;AL59&amp;AN59&amp;AP59&amp;AR59&amp;AT59))&gt;0,1,0)</f>
        <v>0</v>
      </c>
    </row>
    <row r="60" spans="2:46" ht="12.75">
      <c r="B60" s="793"/>
      <c r="C60" s="817"/>
      <c r="D60" s="817"/>
      <c r="E60" s="817"/>
      <c r="F60" s="818"/>
      <c r="G60" s="670"/>
      <c r="AH60" s="712"/>
      <c r="AI60" s="52"/>
      <c r="AJ60" s="712"/>
      <c r="AK60" s="52"/>
      <c r="AL60" s="712"/>
      <c r="AM60" s="52"/>
      <c r="AN60" s="712"/>
      <c r="AO60" s="52"/>
      <c r="AP60" s="712"/>
      <c r="AQ60" s="52"/>
      <c r="AR60" s="712"/>
      <c r="AS60" s="52"/>
      <c r="AT60" s="712"/>
    </row>
    <row r="61" spans="2:47" ht="12.75">
      <c r="B61" s="793" t="s">
        <v>765</v>
      </c>
      <c r="C61" s="949" t="s">
        <v>766</v>
      </c>
      <c r="D61" s="949"/>
      <c r="E61" s="949"/>
      <c r="F61" s="794"/>
      <c r="G61" s="649">
        <v>0</v>
      </c>
      <c r="I61" s="649">
        <v>1444178.0169188802</v>
      </c>
      <c r="K61" s="649">
        <v>411973.1004448923</v>
      </c>
      <c r="M61" s="649">
        <v>17161.8826362276</v>
      </c>
      <c r="O61" s="646">
        <f>SUM(G61:M61)</f>
        <v>1873313</v>
      </c>
      <c r="Q61" s="649">
        <v>0</v>
      </c>
      <c r="S61" s="646">
        <f>IF(ISERROR(O61-Q61),0,O61-Q61)</f>
        <v>1873313</v>
      </c>
      <c r="T61" s="657"/>
      <c r="U61" s="657"/>
      <c r="V61" s="657"/>
      <c r="W61" s="657"/>
      <c r="X61" s="657"/>
      <c r="Y61" s="657"/>
      <c r="AC61" s="761" t="str">
        <f>B61</f>
        <v>1.7.1</v>
      </c>
      <c r="AD61" s="950" t="str">
        <f>C61</f>
        <v>Capital Expenditure from Revenue (CERA) (Schools)</v>
      </c>
      <c r="AE61" s="950"/>
      <c r="AF61" s="950"/>
      <c r="AH61" s="660">
        <f>IF(AND(G61="",$H$1&lt;&gt;"*"),"",IF(AND(G61="",$H$1="*"),"Error 1.1",IF(ISNUMBER(G61)=FALSE,"Error 1.2",IF(G61&lt;0,"Error 1.3",""))))</f>
      </c>
      <c r="AJ61" s="660">
        <f>IF(AND(I61="",$H$1&lt;&gt;"*"),"",IF(AND(I61="",$H$1="*"),"Error 1.1",IF(ISNUMBER(I61)=FALSE,"Error 1.2",IF(I61&lt;0,"Error 1.3",""))))</f>
      </c>
      <c r="AL61" s="660">
        <f>IF(AND(K61="",$H$1&lt;&gt;"*"),"",IF(AND(K61="",$H$1="*"),"Error 1.1",IF(ISNUMBER(K61)=FALSE,"Error 1.2",IF(K61&lt;0,"Error 1.3",""))))</f>
      </c>
      <c r="AN61" s="660">
        <f>IF(AND(M61="",$H$1&lt;&gt;"*"),"",IF(AND(M61="",$H$1="*"),"Error 1.1",IF(ISNUMBER(M61)=FALSE,"Error 1.2",IF(M61&lt;0,"Error 1.3",""))))</f>
      </c>
      <c r="AP61" s="660">
        <f>IF(AND(O61="",$H$1&lt;&gt;"*"),"",IF(AND(O61="",$H$1="*"),"Error 1.1",IF(ISNUMBER(O61)=FALSE,"Error 1.2","")))</f>
      </c>
      <c r="AR61" s="660">
        <f>IF(AND(Q61="",$H$1&lt;&gt;"*"),"",IF(AND(Q61="",$H$1="*"),"Error 1.1",IF(ISNUMBER(Q61)=FALSE,"Error 1.2",IF(Q61&lt;0,"Error 1.3",""))))</f>
      </c>
      <c r="AT61" s="660">
        <f>IF(AND(S61="",$H$1&lt;&gt;"*"),"",IF(AND(S61="",$H$1="*"),"Error 1.1",IF(ISNUMBER(S61)=FALSE,"Error 1.2",IF(S61&lt;0,"Error 1.3",""))))</f>
      </c>
      <c r="AU61" s="605">
        <f>IF(LEN(TRIM(AH61&amp;AJ61&amp;AL61&amp;AN61&amp;AP61&amp;AR61&amp;AT61))&gt;0,1,0)</f>
        <v>0</v>
      </c>
    </row>
    <row r="62" spans="2:47" ht="12.75">
      <c r="B62" s="793" t="s">
        <v>767</v>
      </c>
      <c r="C62" s="949" t="s">
        <v>768</v>
      </c>
      <c r="D62" s="949"/>
      <c r="E62" s="949"/>
      <c r="F62" s="794"/>
      <c r="G62" s="649">
        <v>0</v>
      </c>
      <c r="I62" s="649">
        <v>0</v>
      </c>
      <c r="K62" s="649">
        <v>0</v>
      </c>
      <c r="M62" s="649">
        <v>0</v>
      </c>
      <c r="O62" s="646">
        <f>SUM(G62:M62)</f>
        <v>0</v>
      </c>
      <c r="Q62" s="649">
        <v>0</v>
      </c>
      <c r="S62" s="646">
        <f>IF(ISERROR(O62-Q62),0,O62-Q62)</f>
        <v>0</v>
      </c>
      <c r="T62" s="657"/>
      <c r="U62" s="657"/>
      <c r="V62" s="657"/>
      <c r="W62" s="657"/>
      <c r="X62" s="657"/>
      <c r="Y62" s="657"/>
      <c r="AC62" s="761" t="str">
        <f>B62</f>
        <v>1.7.2</v>
      </c>
      <c r="AD62" s="950" t="str">
        <f>C62</f>
        <v>Prudential borrowing costs</v>
      </c>
      <c r="AE62" s="950"/>
      <c r="AF62" s="950"/>
      <c r="AH62" s="660">
        <f>IF(AND(G62="",$H$1&lt;&gt;"*"),"",IF(AND(G62="",$H$1="*"),"Error 1.1",IF(ISNUMBER(G62)=FALSE,"Error 1.2",IF(G62&lt;0,"Error 1.3",""))))</f>
      </c>
      <c r="AJ62" s="660">
        <f>IF(AND(I62="",$H$1&lt;&gt;"*"),"",IF(AND(I62="",$H$1="*"),"Error 1.1",IF(ISNUMBER(I62)=FALSE,"Error 1.2",IF(I62&lt;0,"Error 1.3",""))))</f>
      </c>
      <c r="AL62" s="660">
        <f>IF(AND(K62="",$H$1&lt;&gt;"*"),"",IF(AND(K62="",$H$1="*"),"Error 1.1",IF(ISNUMBER(K62)=FALSE,"Error 1.2",IF(K62&lt;0,"Error 1.3",""))))</f>
      </c>
      <c r="AN62" s="660">
        <f>IF(AND(M62="",$H$1&lt;&gt;"*"),"",IF(AND(M62="",$H$1="*"),"Error 1.1",IF(ISNUMBER(M62)=FALSE,"Error 1.2",IF(M62&lt;0,"Error 1.3",""))))</f>
      </c>
      <c r="AP62" s="660">
        <f>IF(AND(O62="",$H$1&lt;&gt;"*"),"",IF(AND(O62="",$H$1="*"),"Error 1.1",IF(ISNUMBER(O62)=FALSE,"Error 1.2","")))</f>
      </c>
      <c r="AR62" s="660">
        <f>IF(AND(Q62="",$H$1&lt;&gt;"*"),"",IF(AND(Q62="",$H$1="*"),"Error 1.1",IF(ISNUMBER(Q62)=FALSE,"Error 1.2",IF(Q62&lt;0,"Error 1.3",""))))</f>
      </c>
      <c r="AT62" s="660">
        <f>IF(AND(S62="",$H$1&lt;&gt;"*"),"",IF(AND(S62="",$H$1="*"),"Error 1.1",IF(ISNUMBER(S62)=FALSE,"Error 1.2",IF(S62&lt;0,"Error 1.3",""))))</f>
      </c>
      <c r="AU62" s="605">
        <f>IF(LEN(TRIM(AH62&amp;AJ62&amp;AL62&amp;AN62&amp;AP62&amp;AR62&amp;AT62))&gt;0,1,0)</f>
        <v>0</v>
      </c>
    </row>
    <row r="63" spans="2:48" ht="12" customHeight="1" thickBot="1">
      <c r="B63" s="793"/>
      <c r="C63" s="819"/>
      <c r="D63" s="795"/>
      <c r="E63" s="795"/>
      <c r="F63" s="794"/>
      <c r="G63" s="670"/>
      <c r="U63" s="52"/>
      <c r="V63" s="52"/>
      <c r="W63" s="52"/>
      <c r="X63" s="52"/>
      <c r="Y63" s="52"/>
      <c r="Z63" s="52"/>
      <c r="AH63" s="741"/>
      <c r="AI63" s="154"/>
      <c r="AJ63" s="741"/>
      <c r="AK63" s="154"/>
      <c r="AL63" s="741"/>
      <c r="AM63" s="154"/>
      <c r="AN63" s="741"/>
      <c r="AP63" s="741"/>
      <c r="AQ63" s="154"/>
      <c r="AR63" s="741"/>
      <c r="AS63" s="154"/>
      <c r="AT63" s="741"/>
      <c r="AU63" s="154"/>
      <c r="AV63" s="154"/>
    </row>
    <row r="64" spans="2:47" ht="12.75" customHeight="1" thickBot="1" thickTop="1">
      <c r="B64" s="793" t="s">
        <v>769</v>
      </c>
      <c r="C64" s="907" t="s">
        <v>770</v>
      </c>
      <c r="D64" s="907"/>
      <c r="E64" s="907"/>
      <c r="F64" s="794"/>
      <c r="G64" s="671">
        <f>SUM(G12:G62)</f>
        <v>2974320</v>
      </c>
      <c r="I64" s="671">
        <f>SUM(I12:I62)</f>
        <v>73897037.64965284</v>
      </c>
      <c r="K64" s="671">
        <f>SUM(K12:K62)</f>
        <v>70291521.5056295</v>
      </c>
      <c r="M64" s="671">
        <f>SUM(M12:M62)</f>
        <v>11444632.16410766</v>
      </c>
      <c r="O64" s="671">
        <f>SUM(G64:M64)</f>
        <v>158607511.31938997</v>
      </c>
      <c r="Q64" s="671">
        <f>SUM(Q12:Q62)</f>
        <v>20951539.492590014</v>
      </c>
      <c r="S64" s="671">
        <f>IF(ISERROR(O64-Q64),0,O64-Q64)</f>
        <v>137655971.82679996</v>
      </c>
      <c r="T64" s="657"/>
      <c r="U64" s="657"/>
      <c r="V64" s="779"/>
      <c r="W64" s="658"/>
      <c r="X64" s="780"/>
      <c r="Y64" s="658"/>
      <c r="Z64" s="781">
        <v>0</v>
      </c>
      <c r="AC64" s="761" t="str">
        <f>B64</f>
        <v>1.8.1</v>
      </c>
      <c r="AD64" s="943" t="str">
        <f>C64</f>
        <v>TOTAL SCHOOLS BUDGET</v>
      </c>
      <c r="AE64" s="943"/>
      <c r="AF64" s="943"/>
      <c r="AH64" s="660">
        <f>IF(AND(G64="",$H$1&lt;&gt;"*"),"",IF(AND(G64="",$H$1="*"),"Error 1.1",IF(ISNUMBER(G64)=FALSE,"Error 1.2","")))</f>
      </c>
      <c r="AI64" s="663"/>
      <c r="AJ64" s="660">
        <f>IF(AND(I64="",$H$1&lt;&gt;"*"),"",IF(AND(I64="",$H$1="*"),"Error 1.1",IF(ISNUMBER(I64)=FALSE,"Error 1.2","")))</f>
      </c>
      <c r="AK64" s="663"/>
      <c r="AL64" s="660">
        <f>IF(AND(K64="",$H$1&lt;&gt;"*"),"",IF(AND(K64="",$H$1="*"),"Error 1.1",IF(ISNUMBER(K64)=FALSE,"Error 1.2","")))</f>
      </c>
      <c r="AM64" s="663"/>
      <c r="AN64" s="660">
        <f>IF(AND(M64="",$H$1&lt;&gt;"*"),"",IF(AND(M64="",$H$1="*"),"Error 1.1",IF(ISNUMBER(M64)=FALSE,"Error 1.2","")))</f>
      </c>
      <c r="AO64" s="663"/>
      <c r="AP64" s="660">
        <f>IF(AND(O64="",$H$1&lt;&gt;"*"),"",IF(AND(O64="",$H$1="*"),"Error 1.1",IF(ISNUMBER(O64)=FALSE,"Error 1.2","")))</f>
      </c>
      <c r="AQ64" s="663"/>
      <c r="AR64" s="660">
        <f>IF(AND(Q64="",$H$1&lt;&gt;"*"),"",IF(AND(Q64="",$H$1="*"),"Error 1.1",IF(ISNUMBER(Q64)=FALSE,"Error 1.2","")))</f>
      </c>
      <c r="AS64" s="663"/>
      <c r="AT64" s="660"/>
      <c r="AU64" s="605">
        <f>IF(LEN(TRIM(AH64&amp;AJ64&amp;AL64&amp;AN64&amp;AP64&amp;AR64&amp;AT64))&gt;0,1,0)</f>
        <v>0</v>
      </c>
    </row>
    <row r="65" spans="2:47" ht="10.5" customHeight="1" thickTop="1">
      <c r="B65" s="793"/>
      <c r="F65" s="794"/>
      <c r="G65" s="657"/>
      <c r="I65" s="657"/>
      <c r="K65" s="657"/>
      <c r="M65" s="657"/>
      <c r="O65" s="657"/>
      <c r="Q65" s="657"/>
      <c r="S65" s="657"/>
      <c r="T65" s="657"/>
      <c r="U65" s="657"/>
      <c r="V65" s="657"/>
      <c r="W65" s="657"/>
      <c r="X65" s="657"/>
      <c r="Y65" s="657"/>
      <c r="Z65" s="52"/>
      <c r="AD65" s="761"/>
      <c r="AE65" s="762"/>
      <c r="AF65" s="762"/>
      <c r="AH65" s="820"/>
      <c r="AJ65" s="820"/>
      <c r="AL65" s="820"/>
      <c r="AN65" s="820"/>
      <c r="AP65" s="669"/>
      <c r="AQ65" s="154"/>
      <c r="AR65" s="669"/>
      <c r="AS65" s="154"/>
      <c r="AT65" s="669"/>
      <c r="AU65" s="256"/>
    </row>
    <row r="66" spans="2:47" s="154" customFormat="1" ht="12.75">
      <c r="B66" s="821"/>
      <c r="C66" s="822"/>
      <c r="D66" s="822"/>
      <c r="E66" s="822"/>
      <c r="F66" s="823"/>
      <c r="O66" s="687"/>
      <c r="Q66" s="687"/>
      <c r="S66" s="687"/>
      <c r="AB66" s="274"/>
      <c r="AC66" s="824"/>
      <c r="AD66" s="944"/>
      <c r="AE66" s="944"/>
      <c r="AF66" s="944"/>
      <c r="AG66" s="274"/>
      <c r="AH66" s="274"/>
      <c r="AI66" s="274"/>
      <c r="AJ66" s="274"/>
      <c r="AK66" s="274"/>
      <c r="AL66" s="274"/>
      <c r="AM66" s="274"/>
      <c r="AN66" s="274"/>
      <c r="AO66" s="274"/>
      <c r="AP66" s="680"/>
      <c r="AR66" s="680"/>
      <c r="AT66" s="680"/>
      <c r="AU66" s="688"/>
    </row>
    <row r="67" spans="2:47" ht="12.75">
      <c r="B67" s="825" t="s">
        <v>771</v>
      </c>
      <c r="C67" s="826" t="s">
        <v>772</v>
      </c>
      <c r="D67" s="827"/>
      <c r="E67" s="828"/>
      <c r="F67" s="829"/>
      <c r="G67" s="649">
        <v>0</v>
      </c>
      <c r="I67" s="649">
        <v>0</v>
      </c>
      <c r="K67" s="649">
        <v>0</v>
      </c>
      <c r="M67" s="649">
        <v>0</v>
      </c>
      <c r="O67" s="646">
        <f>SUM(G67:M67)</f>
        <v>0</v>
      </c>
      <c r="Q67" s="649">
        <v>0</v>
      </c>
      <c r="S67" s="646">
        <f>IF(ISERROR(O67-Q67),0,O67-Q67)</f>
        <v>0</v>
      </c>
      <c r="AB67" s="152"/>
      <c r="AC67" s="830" t="str">
        <f>B67</f>
        <v>9</v>
      </c>
      <c r="AD67" s="943" t="str">
        <f>C67</f>
        <v>Capital Expenditure (excluding CERA)</v>
      </c>
      <c r="AE67" s="943"/>
      <c r="AF67" s="943"/>
      <c r="AG67" s="152"/>
      <c r="AH67" s="660">
        <f>IF(AND(G67="",$H$1&lt;&gt;"*"),"",IF(AND(G67="",$H$1="*"),"Error 1.1",IF(ISNUMBER(G67)=FALSE,"Error 1.2",IF(G67&lt;0,"Error 1.3",""))))</f>
      </c>
      <c r="AI67" s="152"/>
      <c r="AJ67" s="660">
        <f>IF(AND(I67="",$H$1&lt;&gt;"*"),"",IF(AND(I67="",$H$1="*"),"Error 1.1",IF(ISNUMBER(I67)=FALSE,"Error 1.2",IF(I67&lt;0,"Error 1.3",""))))</f>
      </c>
      <c r="AK67" s="15"/>
      <c r="AL67" s="660">
        <f>IF(AND(K67="",$H$1&lt;&gt;"*"),"",IF(AND(K67="",$H$1="*"),"Error 1.1",IF(ISNUMBER(K67)=FALSE,"Error 1.2",IF(K67&lt;0,"Error 1.3",""))))</f>
      </c>
      <c r="AM67" s="219"/>
      <c r="AN67" s="660">
        <f>IF(AND(M67="",$H$1&lt;&gt;"*"),"",IF(AND(M67="",$H$1="*"),"Error 1.1",IF(ISNUMBER(M67)=FALSE,"Error 1.2",IF(M67&lt;0,"Error 1.3",""))))</f>
      </c>
      <c r="AO67" s="152"/>
      <c r="AP67" s="660">
        <f>IF(AND(O67="",$H$1&lt;&gt;"*"),"",IF(AND(O67="",$H$1="*"),"Error 1.1",IF(ISNUMBER(O67)=FALSE,"Error 1.2",IF(O67&lt;0,"Error 1.3",""))))</f>
      </c>
      <c r="AQ67" s="15"/>
      <c r="AR67" s="660">
        <f>IF(AND(Q67="",$H$1&lt;&gt;"*"),"",IF(AND(Q67="",$H$1="*"),"Error 1.1",IF(ISNUMBER(Q67)=FALSE,"Error 1.2",IF(Q67&lt;0,"Error 1.3",""))))</f>
      </c>
      <c r="AS67" s="15"/>
      <c r="AT67" s="660">
        <f>IF(AND(S67="",$H$1&lt;&gt;"*"),"",IF(AND(S67="",$H$1="*"),"Error 1.1",IF(ISNUMBER(S67)=FALSE,"Error 1.2",IF(S67&lt;0,"Error 1.3",""))))</f>
      </c>
      <c r="AU67" s="831">
        <f>IF(LEN(TRIM(AH67&amp;AJ67&amp;AL67&amp;AN67&amp;AP67&amp;AR67&amp;AT67))&gt;0,1,0)</f>
        <v>0</v>
      </c>
    </row>
    <row r="68" spans="2:47" s="154" customFormat="1" ht="12.75">
      <c r="B68" s="832"/>
      <c r="C68" s="832"/>
      <c r="D68" s="832"/>
      <c r="O68" s="684"/>
      <c r="Q68" s="684"/>
      <c r="S68" s="684"/>
      <c r="AB68" s="274"/>
      <c r="AC68" s="824"/>
      <c r="AD68" s="944"/>
      <c r="AE68" s="944"/>
      <c r="AF68" s="944"/>
      <c r="AG68" s="274"/>
      <c r="AH68" s="274"/>
      <c r="AI68" s="274"/>
      <c r="AJ68" s="274"/>
      <c r="AK68" s="274"/>
      <c r="AL68" s="274"/>
      <c r="AM68" s="274"/>
      <c r="AN68" s="274"/>
      <c r="AO68" s="274"/>
      <c r="AP68" s="669"/>
      <c r="AR68" s="669"/>
      <c r="AT68" s="669"/>
      <c r="AU68" s="686"/>
    </row>
    <row r="69" spans="2:48" ht="15" customHeight="1">
      <c r="B69" s="833"/>
      <c r="C69" s="908" t="s">
        <v>773</v>
      </c>
      <c r="D69" s="908"/>
      <c r="E69" s="908"/>
      <c r="F69" s="828"/>
      <c r="O69" s="657"/>
      <c r="P69" s="52"/>
      <c r="Q69" s="657"/>
      <c r="R69" s="52"/>
      <c r="S69" s="657"/>
      <c r="AB69" s="152"/>
      <c r="AC69" s="830"/>
      <c r="AD69" s="943" t="str">
        <f>C69</f>
        <v>MEMORANDUM ITEMS </v>
      </c>
      <c r="AE69" s="943"/>
      <c r="AF69" s="943"/>
      <c r="AG69" s="152"/>
      <c r="AH69" s="152"/>
      <c r="AI69" s="152"/>
      <c r="AJ69" s="274"/>
      <c r="AK69" s="274"/>
      <c r="AL69" s="664"/>
      <c r="AM69" s="154"/>
      <c r="AN69" s="664"/>
      <c r="AO69" s="274"/>
      <c r="AP69" s="664"/>
      <c r="AQ69" s="154"/>
      <c r="AR69" s="664"/>
      <c r="AS69" s="154"/>
      <c r="AT69" s="664"/>
      <c r="AU69" s="154"/>
      <c r="AV69" s="154"/>
    </row>
    <row r="70" spans="2:47" ht="23.25" customHeight="1">
      <c r="B70" s="834">
        <v>10</v>
      </c>
      <c r="C70" s="941" t="s">
        <v>774</v>
      </c>
      <c r="D70" s="941"/>
      <c r="E70" s="941"/>
      <c r="F70" s="942"/>
      <c r="G70" s="942"/>
      <c r="H70" s="942"/>
      <c r="I70" s="942"/>
      <c r="J70" s="942"/>
      <c r="K70" s="942"/>
      <c r="O70" s="687"/>
      <c r="P70" s="52"/>
      <c r="Q70" s="687"/>
      <c r="R70" s="52"/>
      <c r="S70" s="687"/>
      <c r="T70" s="52"/>
      <c r="U70" s="52"/>
      <c r="V70" s="52"/>
      <c r="W70" s="52"/>
      <c r="X70" s="52"/>
      <c r="Y70" s="52"/>
      <c r="Z70" s="52"/>
      <c r="AA70" s="52"/>
      <c r="AB70" s="152"/>
      <c r="AC70" s="830">
        <f>B70</f>
        <v>10</v>
      </c>
      <c r="AD70" s="950" t="str">
        <f>C70</f>
        <v>Expenditure covered by LSC Grant - Include below the part of the expenditure recorded in individual lines in the Schools budget that is supported by the Learning and Skills Council.</v>
      </c>
      <c r="AE70" s="950"/>
      <c r="AF70" s="950"/>
      <c r="AG70" s="950"/>
      <c r="AH70" s="950"/>
      <c r="AI70" s="950"/>
      <c r="AJ70" s="950"/>
      <c r="AK70" s="950"/>
      <c r="AL70" s="950"/>
      <c r="AM70" s="950"/>
      <c r="AN70" s="950"/>
      <c r="AO70" s="950"/>
      <c r="AP70" s="680"/>
      <c r="AQ70" s="154"/>
      <c r="AR70" s="680"/>
      <c r="AS70" s="154"/>
      <c r="AT70" s="680"/>
      <c r="AU70" s="688"/>
    </row>
    <row r="71" spans="2:47" ht="24" customHeight="1">
      <c r="B71" s="835" t="s">
        <v>775</v>
      </c>
      <c r="C71" s="945" t="s">
        <v>776</v>
      </c>
      <c r="D71" s="946"/>
      <c r="E71" s="946"/>
      <c r="F71" s="946"/>
      <c r="G71" s="946"/>
      <c r="H71" s="946"/>
      <c r="I71" s="946"/>
      <c r="J71" s="836"/>
      <c r="K71" s="649">
        <v>4879318</v>
      </c>
      <c r="L71" s="836"/>
      <c r="M71" s="836"/>
      <c r="O71" s="646">
        <f>SUM(G71:M71)</f>
        <v>4879318</v>
      </c>
      <c r="Q71" s="649">
        <f>+O71</f>
        <v>4879318</v>
      </c>
      <c r="S71" s="646">
        <f>IF(ISERROR(O71-Q71),0,O71-Q71)</f>
        <v>0</v>
      </c>
      <c r="AB71" s="152"/>
      <c r="AC71" s="830" t="str">
        <f>B71</f>
        <v>10a.1</v>
      </c>
      <c r="AD71" s="950" t="str">
        <f>C71</f>
        <v>SIXTH FORM - Allocation from LSC for 16+ funding for secondary schools (included in expenditure 1.0.1 column (c))</v>
      </c>
      <c r="AE71" s="950"/>
      <c r="AF71" s="950"/>
      <c r="AG71" s="152"/>
      <c r="AH71" s="152"/>
      <c r="AI71" s="152"/>
      <c r="AJ71" s="152"/>
      <c r="AK71" s="152"/>
      <c r="AL71" s="660">
        <f>IF(AND(K71="",$H$1&lt;&gt;"*"),"",IF(AND(K71="",$H$1="*"),"Error 1.1",IF(ISNUMBER(K71)=FALSE,"Error 1.2",IF(K71&lt;0,"Error 1.3",IF(K71&gt;K12,"Error 3.1.1","")))))</f>
      </c>
      <c r="AM71" s="742"/>
      <c r="AN71" s="680"/>
      <c r="AO71" s="152"/>
      <c r="AP71" s="660">
        <f>IF(AND(O71="",$H$1&lt;&gt;"*"),"",IF(AND(O71="",$H$1="*"),"Error 1.1",IF(ISNUMBER(O71)=FALSE,"Error 1.2",IF(O71&lt;0,"Error 1.3",""))))</f>
      </c>
      <c r="AQ71" s="15"/>
      <c r="AR71" s="660">
        <f>IF(AND(Q71="",$H$1&lt;&gt;"*"),"",IF(AND(Q71="",$H$1="*"),"Error 1.1",IF(ISNUMBER(Q71)=FALSE,"Error 1.2",IF(Q71&lt;0,"Error 1.3",""))))</f>
      </c>
      <c r="AS71" s="15"/>
      <c r="AT71" s="660">
        <f>IF(AND(S71="",$H$1&lt;&gt;"*"),"",IF(AND(S71="",$H$1="*"),"Error 1.1",IF(ISNUMBER(S71)=FALSE,"Error 1.2",IF(S71&lt;0,"Error 1.3",IF(S71&lt;&gt;0,"Warning 2.3","")))))</f>
      </c>
      <c r="AU71" s="831">
        <f>IF(LEN(TRIM(AL71&amp;AP71&amp;AR71&amp;AT71))&gt;0,1,0)</f>
        <v>0</v>
      </c>
    </row>
    <row r="72" spans="2:47" ht="24" customHeight="1">
      <c r="B72" s="835" t="s">
        <v>777</v>
      </c>
      <c r="C72" s="945" t="s">
        <v>778</v>
      </c>
      <c r="D72" s="945"/>
      <c r="E72" s="945"/>
      <c r="F72" s="945"/>
      <c r="G72" s="945"/>
      <c r="K72" s="837"/>
      <c r="M72" s="649">
        <v>302967</v>
      </c>
      <c r="O72" s="646">
        <f>SUM(G72:M72)</f>
        <v>302967</v>
      </c>
      <c r="Q72" s="649">
        <f>+O72</f>
        <v>302967</v>
      </c>
      <c r="S72" s="646">
        <f>IF(ISERROR(O72-Q72),0,O72-Q72)</f>
        <v>0</v>
      </c>
      <c r="AB72" s="152"/>
      <c r="AC72" s="830" t="str">
        <f>B72</f>
        <v>10a.2</v>
      </c>
      <c r="AD72" s="950" t="str">
        <f>C72</f>
        <v>SIXTH FORM - Allocation from LSC for 16+ funding for special schools (included in expenditure 1.0.1 column (d))</v>
      </c>
      <c r="AE72" s="950"/>
      <c r="AF72" s="950"/>
      <c r="AG72" s="152"/>
      <c r="AH72" s="152"/>
      <c r="AI72" s="152"/>
      <c r="AJ72" s="152"/>
      <c r="AK72" s="152"/>
      <c r="AL72" s="669"/>
      <c r="AM72" s="219"/>
      <c r="AN72" s="660">
        <f>IF(AND(M72="",$H$1&lt;&gt;"*"),"",IF(AND(M72="",$H$1="*"),"Error 1.1",IF(ISNUMBER(M72)=FALSE,"Error 1.2",IF(M72&lt;0,"Error 1.3",IF(M72&gt;M12,"Error 3.1.2","")))))</f>
      </c>
      <c r="AO72" s="152"/>
      <c r="AP72" s="660">
        <f>IF(AND(O72="",$H$1&lt;&gt;"*"),"",IF(AND(O72="",$H$1="*"),"Error 1.1",IF(ISNUMBER(O72)=FALSE,"Error 1.2",IF(O72&lt;0,"Error 1.3",""))))</f>
      </c>
      <c r="AQ72" s="15"/>
      <c r="AR72" s="660">
        <f>IF(AND(Q72="",$H$1&lt;&gt;"*"),"",IF(AND(Q72="",$H$1="*"),"Error 1.1",IF(ISNUMBER(Q72)=FALSE,"Error 1.2",IF(Q72&lt;0,"Error 1.3",""))))</f>
      </c>
      <c r="AS72" s="15"/>
      <c r="AT72" s="660">
        <f>IF(AND(S72="",$H$1&lt;&gt;"*"),"",IF(AND(S72="",$H$1="*"),"Error 1.1",IF(ISNUMBER(S72)=FALSE,"Error 1.2",IF(S72&lt;0,"Error 1.3",IF(S72&lt;&gt;0,"Warning 2.3","")))))</f>
      </c>
      <c r="AU72" s="831">
        <f>IF(LEN(TRIM(AN72&amp;AP72&amp;AR72&amp;AT72))&gt;0,1,0)</f>
        <v>0</v>
      </c>
    </row>
    <row r="73" spans="2:47" s="154" customFormat="1" ht="12.75" customHeight="1">
      <c r="B73" s="838"/>
      <c r="C73" s="839"/>
      <c r="D73" s="840"/>
      <c r="E73" s="840"/>
      <c r="F73" s="841"/>
      <c r="G73" s="841"/>
      <c r="K73" s="687"/>
      <c r="M73" s="809"/>
      <c r="O73" s="809"/>
      <c r="Q73" s="809"/>
      <c r="S73" s="809"/>
      <c r="AB73" s="274"/>
      <c r="AC73" s="830"/>
      <c r="AD73" s="950"/>
      <c r="AE73" s="950"/>
      <c r="AF73" s="950"/>
      <c r="AG73" s="274"/>
      <c r="AH73" s="274"/>
      <c r="AI73" s="274"/>
      <c r="AJ73" s="274"/>
      <c r="AK73" s="274"/>
      <c r="AL73" s="680"/>
      <c r="AN73" s="741"/>
      <c r="AO73" s="274"/>
      <c r="AP73" s="741"/>
      <c r="AR73" s="741"/>
      <c r="AT73" s="741"/>
      <c r="AU73" s="721"/>
    </row>
    <row r="74" spans="2:47" ht="21.75" customHeight="1">
      <c r="B74" s="835" t="s">
        <v>779</v>
      </c>
      <c r="C74" s="945" t="s">
        <v>780</v>
      </c>
      <c r="D74" s="942"/>
      <c r="E74" s="942"/>
      <c r="F74" s="942"/>
      <c r="G74" s="942"/>
      <c r="K74" s="649">
        <v>0</v>
      </c>
      <c r="M74" s="649">
        <v>0</v>
      </c>
      <c r="O74" s="646">
        <f>SUM(G74:M74)</f>
        <v>0</v>
      </c>
      <c r="Q74" s="649">
        <f>+O74</f>
        <v>0</v>
      </c>
      <c r="S74" s="646">
        <f>IF(ISERROR(O74-Q74),0,O74-Q74)</f>
        <v>0</v>
      </c>
      <c r="AB74" s="152"/>
      <c r="AC74" s="830" t="str">
        <f aca="true" t="shared" si="30" ref="AC74:AD77">B74</f>
        <v>10b.1</v>
      </c>
      <c r="AD74" s="950" t="str">
        <f t="shared" si="30"/>
        <v>Sixth form element included at 1.2.1 above for pupils with and without statements</v>
      </c>
      <c r="AE74" s="950"/>
      <c r="AF74" s="950"/>
      <c r="AG74" s="152"/>
      <c r="AH74" s="152"/>
      <c r="AI74" s="152"/>
      <c r="AJ74" s="152"/>
      <c r="AK74" s="152"/>
      <c r="AL74" s="660">
        <f>IF(AND(K74="",$H$1&lt;&gt;"*"),"",IF(AND(K74="",$H$1="*"),"Error 1.1",IF(ISNUMBER(K74)=FALSE,"Error 1.2",IF(K74&lt;0,"Error 1.3",IF(K74&gt;K25,"Error 3.1.3","")))))</f>
      </c>
      <c r="AM74" s="663"/>
      <c r="AN74" s="660">
        <f>IF(AND(M74="",$H$1&lt;&gt;"*"),"",IF(AND(M74="",$H$1="*"),"Error 1.1",IF(ISNUMBER(M74)=FALSE,"Error 1.2",IF(M74&lt;0,"Error 1.3",IF(M74&gt;M25,"Error 3.1.3","")))))</f>
      </c>
      <c r="AO74" s="145"/>
      <c r="AP74" s="660">
        <f>IF(AND(O74="",$H$1&lt;&gt;"*"),"",IF(AND(O74="",$H$1="*"),"Error 1.1",IF(ISNUMBER(O74)=FALSE,"Error 1.2",IF(O74&lt;0,"Error 1.3",""))))</f>
      </c>
      <c r="AQ74" s="15"/>
      <c r="AR74" s="660">
        <f>IF(AND(Q74="",$H$1&lt;&gt;"*"),"",IF(AND(Q74="",$H$1="*"),"Error 1.1",IF(ISNUMBER(Q74)=FALSE,"Error 1.2",IF(Q74&lt;0,"Error 1.3",""))))</f>
      </c>
      <c r="AS74" s="15"/>
      <c r="AT74" s="660">
        <f>IF(AND(S74="",$H$1&lt;&gt;"*"),"",IF(AND(S74="",$H$1="*"),"Error 1.1",IF(ISNUMBER(S74)=FALSE,"Error 1.2",IF(S74&lt;0,"Error 1.3",IF(S74&lt;&gt;0,"Warning 2.3","")))))</f>
      </c>
      <c r="AU74" s="831">
        <f>IF(LEN(TRIM(AL74&amp;AN74&amp;AP74&amp;AR74&amp;AT74))&gt;0,1,0)</f>
        <v>0</v>
      </c>
    </row>
    <row r="75" spans="2:47" ht="33" customHeight="1">
      <c r="B75" s="835" t="s">
        <v>781</v>
      </c>
      <c r="C75" s="945" t="s">
        <v>782</v>
      </c>
      <c r="D75" s="945"/>
      <c r="E75" s="945"/>
      <c r="F75" s="841"/>
      <c r="G75" s="842"/>
      <c r="K75" s="649">
        <v>0</v>
      </c>
      <c r="M75" s="649">
        <v>0</v>
      </c>
      <c r="O75" s="646">
        <f>SUM(G75:M75)</f>
        <v>0</v>
      </c>
      <c r="Q75" s="649">
        <f>+O75</f>
        <v>0</v>
      </c>
      <c r="S75" s="646">
        <f>IF(ISERROR(O75-Q75),0,O75-Q75)</f>
        <v>0</v>
      </c>
      <c r="AB75" s="152"/>
      <c r="AC75" s="830" t="str">
        <f t="shared" si="30"/>
        <v>10b.2</v>
      </c>
      <c r="AD75" s="950" t="str">
        <f t="shared" si="30"/>
        <v>Sixth form element included at 1.2.2 above for pupils with SEN, provision not included in line 1.2.1</v>
      </c>
      <c r="AE75" s="950"/>
      <c r="AF75" s="950"/>
      <c r="AG75" s="152"/>
      <c r="AH75" s="152"/>
      <c r="AI75" s="152"/>
      <c r="AJ75" s="152"/>
      <c r="AK75" s="152"/>
      <c r="AL75" s="660">
        <f>IF(AND(K75="",$H$1&lt;&gt;"*"),"",IF(AND(K75="",$H$1="*"),"Error 1.1",IF(ISNUMBER(K75)=FALSE,"Error 1.2",IF(K75&lt;0,"Error 1.3",IF(K75&gt;K26,"Error 3.1.4","")))))</f>
      </c>
      <c r="AM75" s="154"/>
      <c r="AN75" s="660">
        <f>IF(AND(M75="",$H$1&lt;&gt;"*"),"",IF(AND(M75="",$H$1="*"),"Error 1.1",IF(ISNUMBER(M75)=FALSE,"Error 1.2",IF(M75&lt;0,"Error 1.3",IF(M75&gt;M26,"Error 3.1.4","")))))</f>
      </c>
      <c r="AO75" s="145"/>
      <c r="AP75" s="660">
        <f>IF(AND(O75="",$H$1&lt;&gt;"*"),"",IF(AND(O75="",$H$1="*"),"Error 1.1",IF(ISNUMBER(O75)=FALSE,"Error 1.2",IF(O75&lt;0,"Error 1.3",""))))</f>
      </c>
      <c r="AQ75" s="15"/>
      <c r="AR75" s="660">
        <f>IF(AND(Q75="",$H$1&lt;&gt;"*"),"",IF(AND(Q75="",$H$1="*"),"Error 1.1",IF(ISNUMBER(Q75)=FALSE,"Error 1.2",IF(Q75&lt;0,"Error 1.3",""))))</f>
      </c>
      <c r="AS75" s="15"/>
      <c r="AT75" s="660">
        <f>IF(AND(S75="",$H$1&lt;&gt;"*"),"",IF(AND(S75="",$H$1="*"),"Error 1.1",IF(ISNUMBER(S75)=FALSE,"Error 1.2",IF(S75&lt;0,"Error 1.3",IF(S75&lt;&gt;0,"Warning 2.3","")))))</f>
      </c>
      <c r="AU75" s="831">
        <f>IF(LEN(TRIM(AL75&amp;AN75&amp;AP75&amp;AR75&amp;AT75))&gt;0,1,0)</f>
        <v>0</v>
      </c>
    </row>
    <row r="76" spans="2:47" ht="27" customHeight="1">
      <c r="B76" s="835" t="s">
        <v>783</v>
      </c>
      <c r="C76" s="945" t="s">
        <v>784</v>
      </c>
      <c r="D76" s="942"/>
      <c r="E76" s="942"/>
      <c r="F76" s="942"/>
      <c r="G76" s="942"/>
      <c r="K76" s="649">
        <v>0</v>
      </c>
      <c r="M76" s="649">
        <v>136816</v>
      </c>
      <c r="O76" s="646">
        <f>SUM(G76:M76)</f>
        <v>136816</v>
      </c>
      <c r="Q76" s="649">
        <f>+O76</f>
        <v>136816</v>
      </c>
      <c r="S76" s="646">
        <f>IF(ISERROR(O76-Q76),0,O76-Q76)</f>
        <v>0</v>
      </c>
      <c r="AB76" s="152"/>
      <c r="AC76" s="830" t="str">
        <f t="shared" si="30"/>
        <v>10b.3</v>
      </c>
      <c r="AD76" s="950" t="str">
        <f t="shared" si="30"/>
        <v>Sixth form element included at 1.2.4 above for pupils at independent special schools and abroad</v>
      </c>
      <c r="AE76" s="950"/>
      <c r="AF76" s="950"/>
      <c r="AG76" s="152"/>
      <c r="AH76" s="152"/>
      <c r="AI76" s="152"/>
      <c r="AJ76" s="152"/>
      <c r="AK76" s="152"/>
      <c r="AL76" s="660">
        <f>IF(AND(K76="",$H$1&lt;&gt;"*"),"",IF(AND(K76="",$H$1="*"),"Error 1.1",IF(ISNUMBER(K76)=FALSE,"Error 1.2",IF(K76&lt;0,"Error 1.3",IF(K76&gt;K28,"Error 3.1.6","")))))</f>
      </c>
      <c r="AM76" s="663"/>
      <c r="AN76" s="660">
        <f>IF(AND(M76="",$H$1&lt;&gt;"*"),"",IF(AND(M76="",$H$1="*"),"Error 1.1",IF(ISNUMBER(M76)=FALSE,"Error 1.2",IF(M76&lt;0,"Error 1.3",IF(M76&gt;M28,"Error 3.1.6","")))))</f>
      </c>
      <c r="AO76" s="145"/>
      <c r="AP76" s="660">
        <f>IF(AND(O76="",$H$1&lt;&gt;"*"),"",IF(AND(O76="",$H$1="*"),"Error 1.1",IF(ISNUMBER(O76)=FALSE,"Error 1.2",IF(O76&lt;0,"Error 1.3",""))))</f>
      </c>
      <c r="AQ76" s="15"/>
      <c r="AR76" s="660">
        <f>IF(AND(Q76="",$H$1&lt;&gt;"*"),"",IF(AND(Q76="",$H$1="*"),"Error 1.1",IF(ISNUMBER(Q76)=FALSE,"Error 1.2",IF(Q76&lt;0,"Error 1.3",""))))</f>
      </c>
      <c r="AS76" s="15"/>
      <c r="AT76" s="660">
        <f>IF(AND(S76="",$H$1&lt;&gt;"*"),"",IF(AND(S76="",$H$1="*"),"Error 1.1",IF(ISNUMBER(S76)=FALSE,"Error 1.2",IF(S76&lt;0,"Error 1.3",IF(S76&lt;&gt;0,"Warning 2.3","")))))</f>
      </c>
      <c r="AU76" s="831">
        <f>IF(LEN(TRIM(AL76&amp;AN76&amp;AP76&amp;AR76&amp;AT76))&gt;0,1,0)</f>
        <v>0</v>
      </c>
    </row>
    <row r="77" spans="2:48" ht="18.75" customHeight="1">
      <c r="B77" s="835" t="s">
        <v>785</v>
      </c>
      <c r="C77" s="945" t="s">
        <v>794</v>
      </c>
      <c r="D77" s="942"/>
      <c r="E77" s="942"/>
      <c r="F77" s="942"/>
      <c r="G77" s="942"/>
      <c r="K77" s="649">
        <v>0</v>
      </c>
      <c r="M77" s="649">
        <v>0</v>
      </c>
      <c r="O77" s="646">
        <f>SUM(G77:M77)</f>
        <v>0</v>
      </c>
      <c r="Q77" s="649">
        <f>+O77</f>
        <v>0</v>
      </c>
      <c r="S77" s="646">
        <f>IF(ISERROR(O77-Q77),0,O77-Q77)</f>
        <v>0</v>
      </c>
      <c r="AB77" s="152"/>
      <c r="AC77" s="830" t="str">
        <f t="shared" si="30"/>
        <v>10b.4</v>
      </c>
      <c r="AD77" s="950" t="str">
        <f t="shared" si="30"/>
        <v>Sixth form element included at 1.2.6 above for pupils at independent schools (pupils without SEN)</v>
      </c>
      <c r="AE77" s="950"/>
      <c r="AF77" s="950"/>
      <c r="AG77" s="152"/>
      <c r="AH77" s="152"/>
      <c r="AI77" s="152"/>
      <c r="AJ77" s="152"/>
      <c r="AK77" s="152"/>
      <c r="AL77" s="660">
        <f>IF(AND(K77="",$H$1&lt;&gt;"*"),"",IF(AND(K77="",$H$1="*"),"Error 1.1",IF(ISNUMBER(K77)=FALSE,"Error 1.2",IF(K77&lt;0,"Error 1.3",IF(K77&gt;K30,"Error 3.1.7","")))))</f>
      </c>
      <c r="AM77" s="154"/>
      <c r="AN77" s="660">
        <f>IF(AND(M77="",$H$1&lt;&gt;"*"),"",IF(AND(M77="",$H$1="*"),"Error 1.1",IF(ISNUMBER(M77)=FALSE,"Error 1.2",IF(M77&lt;0,"Error 1.3",IF(M77&gt;M30,"Error 3.1.7","")))))</f>
      </c>
      <c r="AO77" s="145"/>
      <c r="AP77" s="660">
        <f>IF(AND(O77="",$H$1&lt;&gt;"*"),"",IF(AND(O77="",$H$1="*"),"Error 1.1",IF(ISNUMBER(O77)=FALSE,"Error 1.2",IF(O77&lt;0,"Error 1.3",""))))</f>
      </c>
      <c r="AQ77" s="15"/>
      <c r="AR77" s="660">
        <f>IF(AND(Q77="",$H$1&lt;&gt;"*"),"",IF(AND(Q77="",$H$1="*"),"Error 1.1",IF(ISNUMBER(Q77)=FALSE,"Error 1.2",IF(Q77&lt;0,"Error 1.3",""))))</f>
      </c>
      <c r="AS77" s="15"/>
      <c r="AT77" s="660">
        <f>IF(AND(S77="",$H$1&lt;&gt;"*"),"",IF(AND(S77="",$H$1="*"),"Error 1.1",IF(ISNUMBER(S77)=FALSE,"Error 1.2",IF(S77&lt;0,"Error 1.3",IF(S77&lt;&gt;0,"Warning 2.3","")))))</f>
      </c>
      <c r="AU77" s="831">
        <f>IF(LEN(TRIM(AL77&amp;AN77&amp;AP77&amp;AR77&amp;AT77))&gt;0,1,0)</f>
        <v>0</v>
      </c>
      <c r="AV77" s="274"/>
    </row>
    <row r="78" spans="2:47" s="154" customFormat="1" ht="12.75" customHeight="1">
      <c r="B78" s="843"/>
      <c r="C78" s="841"/>
      <c r="D78" s="844"/>
      <c r="E78" s="844"/>
      <c r="F78" s="844"/>
      <c r="G78" s="844"/>
      <c r="K78" s="809"/>
      <c r="M78" s="809"/>
      <c r="O78" s="809"/>
      <c r="Q78" s="809"/>
      <c r="S78" s="809"/>
      <c r="AB78" s="274"/>
      <c r="AC78" s="830"/>
      <c r="AD78" s="901"/>
      <c r="AE78" s="901"/>
      <c r="AF78" s="901"/>
      <c r="AG78" s="274"/>
      <c r="AH78" s="274"/>
      <c r="AI78" s="274"/>
      <c r="AJ78" s="274"/>
      <c r="AK78" s="274"/>
      <c r="AL78" s="741"/>
      <c r="AN78" s="741"/>
      <c r="AO78" s="274"/>
      <c r="AP78" s="741"/>
      <c r="AR78" s="741"/>
      <c r="AT78" s="741"/>
      <c r="AU78" s="721"/>
    </row>
    <row r="79" spans="2:47" s="154" customFormat="1" ht="21.75" customHeight="1">
      <c r="B79" s="835" t="s">
        <v>786</v>
      </c>
      <c r="C79" s="945" t="s">
        <v>787</v>
      </c>
      <c r="D79" s="945"/>
      <c r="E79" s="945"/>
      <c r="F79" s="945"/>
      <c r="G79" s="945"/>
      <c r="K79" s="649">
        <v>150099</v>
      </c>
      <c r="L79" s="3"/>
      <c r="M79" s="649">
        <v>0</v>
      </c>
      <c r="N79" s="3"/>
      <c r="O79" s="646">
        <f>SUM(G79:M79)</f>
        <v>150099</v>
      </c>
      <c r="P79" s="3"/>
      <c r="Q79" s="649">
        <f>+O79</f>
        <v>150099</v>
      </c>
      <c r="R79" s="3"/>
      <c r="S79" s="646">
        <f>IF(ISERROR(O79-Q79),0,O79-Q79)</f>
        <v>0</v>
      </c>
      <c r="AB79" s="274"/>
      <c r="AC79" s="830" t="str">
        <f>B79</f>
        <v>10c.1</v>
      </c>
      <c r="AD79" s="901" t="str">
        <f>C79</f>
        <v>LSC Threshold and Performance Pay Costs (included in expenditure at 1.0.1 columns c and d)</v>
      </c>
      <c r="AE79" s="901"/>
      <c r="AF79" s="901"/>
      <c r="AG79" s="274"/>
      <c r="AH79" s="274"/>
      <c r="AI79" s="274"/>
      <c r="AJ79" s="274"/>
      <c r="AK79" s="274"/>
      <c r="AL79" s="660">
        <f>IF(AND(K79="",$H$1&lt;&gt;"*"),"",IF(AND(K79="",$H$1="*"),"Error 1.1",IF(ISNUMBER(K79)=FALSE,"Error 1.2",IF(K79&lt;0,"Error 1.3",IF(K79&gt;K12,"Error 3.1.8","")))))</f>
      </c>
      <c r="AM79" s="663"/>
      <c r="AN79" s="660">
        <f>IF(AND(M79="",$H$1&lt;&gt;"*"),"",IF(AND(M79="",$H$1="*"),"Error 1.1",IF(ISNUMBER(M79)=FALSE,"Error 1.2",IF(M79&lt;0,"Error 1.3",IF(M79&gt;M12,"Error 3.1.8","")))))</f>
      </c>
      <c r="AO79" s="663"/>
      <c r="AP79" s="660">
        <f>IF(AND(O79="",$H$1&lt;&gt;"*"),"",IF(AND(O79="",$H$1="*"),"Error 1.1",IF(ISNUMBER(O79)=FALSE,"Error 1.2",IF(O79&lt;0,"Error 1.3",""))))</f>
      </c>
      <c r="AQ79" s="663"/>
      <c r="AR79" s="660">
        <f>IF(AND(Q79="",$H$1&lt;&gt;"*"),"",IF(AND(Q79="",$H$1="*"),"Error 1.1",IF(ISNUMBER(Q79)=FALSE,"Error 1.2","")))</f>
      </c>
      <c r="AS79" s="663"/>
      <c r="AT79" s="660">
        <f>IF(AND(S79="",$H$1&lt;&gt;"*"),"",IF(AND(S79="",$H$1="*"),"Error 1.1",IF(ISNUMBER(S79)=FALSE,"Error 1.2",IF(S79&lt;0,"Error 1.3",IF(S79&lt;&gt;0,"Warning 2.3","")))))</f>
      </c>
      <c r="AU79" s="831">
        <f>IF(LEN(TRIM(AL79&amp;AN79&amp;AP79&amp;AR79&amp;AT79))&gt;0,1,0)</f>
        <v>0</v>
      </c>
    </row>
    <row r="80" spans="2:48" ht="21.75" customHeight="1">
      <c r="B80" s="835" t="s">
        <v>788</v>
      </c>
      <c r="C80" s="845" t="s">
        <v>789</v>
      </c>
      <c r="D80" s="846"/>
      <c r="E80" s="846"/>
      <c r="F80" s="846"/>
      <c r="G80" s="846"/>
      <c r="K80" s="649">
        <v>0</v>
      </c>
      <c r="M80" s="649">
        <v>0</v>
      </c>
      <c r="O80" s="646">
        <f>SUM(G80:M80)</f>
        <v>0</v>
      </c>
      <c r="Q80" s="649">
        <f>+O80</f>
        <v>0</v>
      </c>
      <c r="S80" s="646">
        <f>IF(ISERROR(O80-Q80),0,O80-Q80)</f>
        <v>0</v>
      </c>
      <c r="AB80" s="152"/>
      <c r="AC80" s="830" t="str">
        <f>B80</f>
        <v>10c.2</v>
      </c>
      <c r="AD80" s="950" t="str">
        <f>C80</f>
        <v>LSC Threshold and Performance Pay Costs (included in expenditure at 1.0.8 columns c and d)</v>
      </c>
      <c r="AE80" s="950"/>
      <c r="AF80" s="950"/>
      <c r="AG80" s="152"/>
      <c r="AH80" s="152"/>
      <c r="AI80" s="152"/>
      <c r="AJ80" s="152"/>
      <c r="AK80" s="152"/>
      <c r="AL80" s="660">
        <f>IF(AND(K80="",$H$1&lt;&gt;"*"),"",IF(AND(K80="",$H$1="*"),"Error 1.1",IF(ISNUMBER(K80)=FALSE,"Error 1.2",IF(K80&lt;0,"Error 1.3",IF(K80&gt;K19,"Error 3.1.9","")))))</f>
      </c>
      <c r="AM80" s="663"/>
      <c r="AN80" s="660">
        <f>IF(AND(M80="",$H$1&lt;&gt;"*"),"",IF(AND(M80="",$H$1="*"),"Error 1.1",IF(ISNUMBER(M80)=FALSE,"Error 1.2",IF(M80&lt;0,"Error 1.3",IF(M80&gt;M19,"Error 3.1.9","")))))</f>
      </c>
      <c r="AO80" s="663"/>
      <c r="AP80" s="660">
        <f>IF(AND(O80="",$H$1&lt;&gt;"*"),"",IF(AND(O80="",$H$1="*"),"Error 1.1",IF(ISNUMBER(O80)=FALSE,"Error 1.2",IF(O80&lt;0,"Error 1.3",""))))</f>
      </c>
      <c r="AQ80" s="663"/>
      <c r="AR80" s="660">
        <f>IF(AND(Q80="",$H$1&lt;&gt;"*"),"",IF(AND(Q80="",$H$1="*"),"Error 1.1",IF(ISNUMBER(Q80)=FALSE,"Error 1.2",IF(Q80&lt;0,"Error 1.3",""))))</f>
      </c>
      <c r="AS80" s="663"/>
      <c r="AT80" s="660">
        <f>IF(AND(S80="",$H$1&lt;&gt;"*"),"",IF(AND(S80="",$H$1="*"),"Error 1.1",IF(ISNUMBER(S80)=FALSE,"Error 1.2",IF(S80&lt;0,"Error 1.3",IF(S80&lt;&gt;0,"Warning 2.3","")))))</f>
      </c>
      <c r="AU80" s="605">
        <f>IF(LEN(TRIM(AL80&amp;AN80&amp;AP80&amp;AR80&amp;AT80))&gt;0,1,0)</f>
        <v>0</v>
      </c>
      <c r="AV80" s="154"/>
    </row>
    <row r="81" spans="6:47" ht="12.75">
      <c r="F81" s="846"/>
      <c r="G81" s="846"/>
      <c r="I81" s="52"/>
      <c r="J81" s="52"/>
      <c r="K81" s="684"/>
      <c r="L81" s="52"/>
      <c r="M81" s="684"/>
      <c r="N81" s="52"/>
      <c r="O81" s="52"/>
      <c r="AB81" s="152"/>
      <c r="AC81" s="830"/>
      <c r="AD81" s="950"/>
      <c r="AE81" s="950"/>
      <c r="AF81" s="950"/>
      <c r="AG81" s="152"/>
      <c r="AH81" s="152"/>
      <c r="AI81" s="152"/>
      <c r="AJ81" s="152"/>
      <c r="AK81" s="152"/>
      <c r="AM81" s="154"/>
      <c r="AO81" s="274"/>
      <c r="AS81" s="154"/>
      <c r="AU81" s="605">
        <f>SUM(AU2:AU80)</f>
        <v>0</v>
      </c>
    </row>
    <row r="82" spans="9:61" ht="12.75">
      <c r="I82" s="52"/>
      <c r="J82" s="52"/>
      <c r="K82" s="52"/>
      <c r="L82" s="52"/>
      <c r="M82" s="52"/>
      <c r="N82" s="52"/>
      <c r="O82" s="52"/>
      <c r="AB82" s="145"/>
      <c r="AC82" s="830"/>
      <c r="AD82" s="902"/>
      <c r="AE82" s="902"/>
      <c r="AF82" s="902"/>
      <c r="AG82" s="145"/>
      <c r="AH82" s="145"/>
      <c r="AI82" s="145"/>
      <c r="AJ82" s="145"/>
      <c r="AK82" s="145"/>
      <c r="AL82" s="145"/>
      <c r="AM82" s="145"/>
      <c r="AN82" s="274"/>
      <c r="AO82" s="274"/>
      <c r="AP82" s="664"/>
      <c r="AQ82" s="154"/>
      <c r="AR82" s="664"/>
      <c r="AS82" s="154"/>
      <c r="AT82" s="664"/>
      <c r="AU82" s="154"/>
      <c r="AV82" s="154"/>
      <c r="AW82" s="154"/>
      <c r="AX82" s="154"/>
      <c r="AY82" s="154"/>
      <c r="AZ82" s="154"/>
      <c r="BA82" s="154"/>
      <c r="BB82" s="154"/>
      <c r="BC82" s="154"/>
      <c r="BD82" s="154"/>
      <c r="BE82" s="154"/>
      <c r="BF82" s="154"/>
      <c r="BG82" s="154"/>
      <c r="BH82" s="154"/>
      <c r="BI82" s="154"/>
    </row>
    <row r="83" spans="28:61" ht="13.5" thickBot="1">
      <c r="AB83" s="145"/>
      <c r="AC83" s="824"/>
      <c r="AD83" s="902"/>
      <c r="AE83" s="902"/>
      <c r="AF83" s="902"/>
      <c r="AG83" s="145"/>
      <c r="AH83" s="145"/>
      <c r="AI83" s="145"/>
      <c r="AJ83" s="145"/>
      <c r="AK83" s="145"/>
      <c r="AL83" s="145"/>
      <c r="AM83" s="145"/>
      <c r="AN83" s="274"/>
      <c r="AO83" s="274"/>
      <c r="AP83" s="274"/>
      <c r="AQ83" s="274"/>
      <c r="AR83" s="274"/>
      <c r="AS83" s="274"/>
      <c r="AT83" s="274"/>
      <c r="AU83" s="154"/>
      <c r="AV83" s="154"/>
      <c r="AW83" s="154"/>
      <c r="AX83" s="154"/>
      <c r="AY83" s="154"/>
      <c r="AZ83" s="154"/>
      <c r="BA83" s="154"/>
      <c r="BB83" s="154"/>
      <c r="BC83" s="154"/>
      <c r="BD83" s="154"/>
      <c r="BE83" s="154"/>
      <c r="BF83" s="154"/>
      <c r="BG83" s="154"/>
      <c r="BH83" s="154"/>
      <c r="BI83" s="154"/>
    </row>
    <row r="84" spans="1:66" ht="12.75" customHeight="1">
      <c r="A84" s="872" t="s">
        <v>790</v>
      </c>
      <c r="B84" s="873"/>
      <c r="C84" s="873"/>
      <c r="D84" s="873"/>
      <c r="E84" s="873"/>
      <c r="F84" s="873"/>
      <c r="G84" s="873"/>
      <c r="H84" s="873"/>
      <c r="I84" s="873"/>
      <c r="J84" s="873"/>
      <c r="K84" s="873"/>
      <c r="L84" s="873"/>
      <c r="M84" s="874"/>
      <c r="N84" s="847"/>
      <c r="O84" s="848"/>
      <c r="P84" s="848"/>
      <c r="Q84" s="848"/>
      <c r="R84" s="848"/>
      <c r="S84" s="848"/>
      <c r="T84" s="849"/>
      <c r="U84" s="849"/>
      <c r="V84" s="849"/>
      <c r="W84" s="849"/>
      <c r="X84" s="849"/>
      <c r="Y84" s="849"/>
      <c r="AB84" s="872" t="s">
        <v>791</v>
      </c>
      <c r="AC84" s="873"/>
      <c r="AD84" s="873"/>
      <c r="AE84" s="873"/>
      <c r="AF84" s="873"/>
      <c r="AG84" s="873"/>
      <c r="AH84" s="873"/>
      <c r="AI84" s="873"/>
      <c r="AJ84" s="873"/>
      <c r="AK84" s="873"/>
      <c r="AL84" s="873"/>
      <c r="AM84" s="873"/>
      <c r="AN84" s="873"/>
      <c r="AO84" s="873"/>
      <c r="AP84" s="873"/>
      <c r="AQ84" s="873"/>
      <c r="AR84" s="873"/>
      <c r="AS84" s="873"/>
      <c r="AT84" s="874"/>
      <c r="AV84" s="3"/>
      <c r="AW84" s="881" t="s">
        <v>792</v>
      </c>
      <c r="AX84" s="882"/>
      <c r="AY84" s="882"/>
      <c r="AZ84" s="882"/>
      <c r="BA84" s="882"/>
      <c r="BB84" s="882"/>
      <c r="BC84" s="882"/>
      <c r="BD84" s="882"/>
      <c r="BE84" s="882"/>
      <c r="BF84" s="882"/>
      <c r="BG84" s="882"/>
      <c r="BH84" s="882"/>
      <c r="BI84" s="882"/>
      <c r="BJ84" s="883"/>
      <c r="BK84" s="3"/>
      <c r="BL84" s="3"/>
      <c r="BM84" s="3"/>
      <c r="BN84" s="3"/>
    </row>
    <row r="85" spans="1:66" ht="13.5" customHeight="1" thickBot="1">
      <c r="A85" s="878" t="s">
        <v>667</v>
      </c>
      <c r="B85" s="879"/>
      <c r="C85" s="879"/>
      <c r="D85" s="879"/>
      <c r="E85" s="879"/>
      <c r="F85" s="879"/>
      <c r="G85" s="879"/>
      <c r="H85" s="879"/>
      <c r="I85" s="879"/>
      <c r="J85" s="879"/>
      <c r="K85" s="879"/>
      <c r="L85" s="879"/>
      <c r="M85" s="880"/>
      <c r="N85" s="847"/>
      <c r="O85" s="848"/>
      <c r="P85" s="848"/>
      <c r="Q85" s="848"/>
      <c r="R85" s="848"/>
      <c r="S85" s="848"/>
      <c r="T85" s="849"/>
      <c r="U85" s="849"/>
      <c r="V85" s="849"/>
      <c r="W85" s="849"/>
      <c r="X85" s="849"/>
      <c r="Y85" s="849"/>
      <c r="AB85" s="878" t="s">
        <v>667</v>
      </c>
      <c r="AC85" s="879"/>
      <c r="AD85" s="879"/>
      <c r="AE85" s="879"/>
      <c r="AF85" s="879"/>
      <c r="AG85" s="879"/>
      <c r="AH85" s="879"/>
      <c r="AI85" s="879"/>
      <c r="AJ85" s="879"/>
      <c r="AK85" s="879"/>
      <c r="AL85" s="879"/>
      <c r="AM85" s="879"/>
      <c r="AN85" s="879"/>
      <c r="AO85" s="879"/>
      <c r="AP85" s="879"/>
      <c r="AQ85" s="879"/>
      <c r="AR85" s="879"/>
      <c r="AS85" s="879"/>
      <c r="AT85" s="880"/>
      <c r="AV85" s="3"/>
      <c r="AW85" s="869" t="s">
        <v>793</v>
      </c>
      <c r="AX85" s="870"/>
      <c r="AY85" s="870"/>
      <c r="AZ85" s="870"/>
      <c r="BA85" s="870"/>
      <c r="BB85" s="870"/>
      <c r="BC85" s="870"/>
      <c r="BD85" s="870"/>
      <c r="BE85" s="870"/>
      <c r="BF85" s="870"/>
      <c r="BG85" s="870"/>
      <c r="BH85" s="870"/>
      <c r="BI85" s="870"/>
      <c r="BJ85" s="871"/>
      <c r="BK85" s="3"/>
      <c r="BL85" s="3"/>
      <c r="BM85" s="3"/>
      <c r="BN85" s="3"/>
    </row>
    <row r="86" spans="1:66" ht="12.75">
      <c r="A86" s="867"/>
      <c r="B86" s="868"/>
      <c r="C86" s="868"/>
      <c r="D86" s="868"/>
      <c r="E86" s="868"/>
      <c r="F86" s="868"/>
      <c r="G86" s="868"/>
      <c r="H86" s="868"/>
      <c r="I86" s="868"/>
      <c r="J86" s="868"/>
      <c r="K86" s="868"/>
      <c r="L86" s="868"/>
      <c r="M86" s="806"/>
      <c r="N86" s="850"/>
      <c r="O86" s="850"/>
      <c r="P86" s="850"/>
      <c r="Q86" s="850"/>
      <c r="R86" s="850"/>
      <c r="S86" s="850"/>
      <c r="T86" s="752"/>
      <c r="U86" s="752"/>
      <c r="V86" s="752"/>
      <c r="W86" s="752"/>
      <c r="X86" s="752"/>
      <c r="Y86" s="752"/>
      <c r="AB86" s="807"/>
      <c r="AC86" s="774"/>
      <c r="AD86" s="774"/>
      <c r="AE86" s="774"/>
      <c r="AF86" s="774"/>
      <c r="AG86" s="774"/>
      <c r="AH86" s="774"/>
      <c r="AI86" s="774"/>
      <c r="AJ86" s="774"/>
      <c r="AK86" s="774"/>
      <c r="AL86" s="774"/>
      <c r="AM86" s="774"/>
      <c r="AN86" s="774"/>
      <c r="AO86" s="774"/>
      <c r="AP86" s="774"/>
      <c r="AQ86" s="774"/>
      <c r="AR86" s="774"/>
      <c r="AS86" s="774"/>
      <c r="AT86" s="775"/>
      <c r="AV86" s="3"/>
      <c r="AW86" s="851"/>
      <c r="AX86" s="428"/>
      <c r="AY86" s="428"/>
      <c r="AZ86" s="428"/>
      <c r="BA86" s="428"/>
      <c r="BB86" s="428"/>
      <c r="BC86" s="428"/>
      <c r="BD86" s="428"/>
      <c r="BE86" s="428"/>
      <c r="BF86" s="428"/>
      <c r="BG86" s="428"/>
      <c r="BH86" s="428"/>
      <c r="BI86" s="428"/>
      <c r="BJ86" s="852"/>
      <c r="BK86" s="3"/>
      <c r="BL86" s="3"/>
      <c r="BM86" s="3"/>
      <c r="BN86" s="3"/>
    </row>
    <row r="87" spans="1:66" ht="12.75">
      <c r="A87" s="935"/>
      <c r="B87" s="936"/>
      <c r="C87" s="936"/>
      <c r="D87" s="936"/>
      <c r="E87" s="936"/>
      <c r="F87" s="936"/>
      <c r="G87" s="936"/>
      <c r="H87" s="936"/>
      <c r="I87" s="936"/>
      <c r="J87" s="936"/>
      <c r="K87" s="936"/>
      <c r="L87" s="936"/>
      <c r="M87" s="937"/>
      <c r="N87" s="853"/>
      <c r="O87" s="853"/>
      <c r="P87" s="854"/>
      <c r="Q87" s="854"/>
      <c r="R87" s="854"/>
      <c r="S87" s="854"/>
      <c r="T87" s="752"/>
      <c r="U87" s="752"/>
      <c r="V87" s="752"/>
      <c r="W87" s="752"/>
      <c r="X87" s="752"/>
      <c r="Y87" s="752"/>
      <c r="AB87" s="875"/>
      <c r="AC87" s="876"/>
      <c r="AD87" s="876"/>
      <c r="AE87" s="876"/>
      <c r="AF87" s="876"/>
      <c r="AG87" s="876"/>
      <c r="AH87" s="876"/>
      <c r="AI87" s="876"/>
      <c r="AJ87" s="876"/>
      <c r="AK87" s="876"/>
      <c r="AL87" s="876"/>
      <c r="AM87" s="876"/>
      <c r="AN87" s="876"/>
      <c r="AO87" s="876"/>
      <c r="AP87" s="876"/>
      <c r="AQ87" s="876"/>
      <c r="AR87" s="876"/>
      <c r="AS87" s="876"/>
      <c r="AT87" s="877"/>
      <c r="AV87" s="3"/>
      <c r="AW87" s="855"/>
      <c r="AX87" s="428"/>
      <c r="AY87" s="428"/>
      <c r="AZ87" s="428"/>
      <c r="BA87" s="428"/>
      <c r="BB87" s="428"/>
      <c r="BC87" s="428"/>
      <c r="BD87" s="428"/>
      <c r="BE87" s="428"/>
      <c r="BF87" s="428"/>
      <c r="BG87" s="428"/>
      <c r="BH87" s="428"/>
      <c r="BI87" s="428"/>
      <c r="BJ87" s="755"/>
      <c r="BK87" s="3"/>
      <c r="BL87" s="3"/>
      <c r="BM87" s="3"/>
      <c r="BN87" s="3"/>
    </row>
    <row r="88" spans="1:66" ht="12.75">
      <c r="A88" s="935"/>
      <c r="B88" s="936"/>
      <c r="C88" s="936"/>
      <c r="D88" s="936"/>
      <c r="E88" s="936"/>
      <c r="F88" s="936"/>
      <c r="G88" s="936"/>
      <c r="H88" s="936"/>
      <c r="I88" s="936"/>
      <c r="J88" s="936"/>
      <c r="K88" s="936"/>
      <c r="L88" s="936"/>
      <c r="M88" s="937"/>
      <c r="N88" s="853"/>
      <c r="O88" s="853"/>
      <c r="P88" s="854"/>
      <c r="Q88" s="854"/>
      <c r="R88" s="854"/>
      <c r="S88" s="854"/>
      <c r="T88" s="752"/>
      <c r="U88" s="752"/>
      <c r="V88" s="752"/>
      <c r="W88" s="752"/>
      <c r="X88" s="752"/>
      <c r="Y88" s="752"/>
      <c r="AB88" s="875"/>
      <c r="AC88" s="876"/>
      <c r="AD88" s="876"/>
      <c r="AE88" s="876"/>
      <c r="AF88" s="876"/>
      <c r="AG88" s="876"/>
      <c r="AH88" s="876"/>
      <c r="AI88" s="876"/>
      <c r="AJ88" s="876"/>
      <c r="AK88" s="876"/>
      <c r="AL88" s="876"/>
      <c r="AM88" s="876"/>
      <c r="AN88" s="876"/>
      <c r="AO88" s="876"/>
      <c r="AP88" s="876"/>
      <c r="AQ88" s="876"/>
      <c r="AR88" s="876"/>
      <c r="AS88" s="876"/>
      <c r="AT88" s="877"/>
      <c r="AV88" s="3"/>
      <c r="AW88" s="855"/>
      <c r="AX88" s="428"/>
      <c r="AY88" s="428"/>
      <c r="AZ88" s="428"/>
      <c r="BA88" s="428"/>
      <c r="BB88" s="428"/>
      <c r="BC88" s="428"/>
      <c r="BD88" s="428"/>
      <c r="BE88" s="428"/>
      <c r="BF88" s="428"/>
      <c r="BG88" s="428"/>
      <c r="BH88" s="428"/>
      <c r="BI88" s="428"/>
      <c r="BJ88" s="755"/>
      <c r="BK88" s="3"/>
      <c r="BL88" s="3"/>
      <c r="BM88" s="3"/>
      <c r="BN88" s="3"/>
    </row>
    <row r="89" spans="1:66" ht="12.75">
      <c r="A89" s="935"/>
      <c r="B89" s="936"/>
      <c r="C89" s="936"/>
      <c r="D89" s="936"/>
      <c r="E89" s="936"/>
      <c r="F89" s="936"/>
      <c r="G89" s="936"/>
      <c r="H89" s="936"/>
      <c r="I89" s="936"/>
      <c r="J89" s="936"/>
      <c r="K89" s="936"/>
      <c r="L89" s="936"/>
      <c r="M89" s="937"/>
      <c r="N89" s="853"/>
      <c r="O89" s="853"/>
      <c r="P89" s="854"/>
      <c r="Q89" s="854"/>
      <c r="R89" s="854"/>
      <c r="S89" s="854"/>
      <c r="T89" s="752"/>
      <c r="U89" s="752"/>
      <c r="V89" s="752"/>
      <c r="W89" s="752"/>
      <c r="X89" s="752"/>
      <c r="Y89" s="752"/>
      <c r="AB89" s="875"/>
      <c r="AC89" s="876"/>
      <c r="AD89" s="876"/>
      <c r="AE89" s="876"/>
      <c r="AF89" s="876"/>
      <c r="AG89" s="876"/>
      <c r="AH89" s="876"/>
      <c r="AI89" s="876"/>
      <c r="AJ89" s="876"/>
      <c r="AK89" s="876"/>
      <c r="AL89" s="876"/>
      <c r="AM89" s="876"/>
      <c r="AN89" s="876"/>
      <c r="AO89" s="876"/>
      <c r="AP89" s="876"/>
      <c r="AQ89" s="876"/>
      <c r="AR89" s="876"/>
      <c r="AS89" s="876"/>
      <c r="AT89" s="877"/>
      <c r="AV89" s="3"/>
      <c r="AW89" s="855"/>
      <c r="AX89" s="428"/>
      <c r="AY89" s="428"/>
      <c r="AZ89" s="428"/>
      <c r="BA89" s="428"/>
      <c r="BB89" s="428"/>
      <c r="BC89" s="428"/>
      <c r="BD89" s="428"/>
      <c r="BE89" s="428"/>
      <c r="BF89" s="428"/>
      <c r="BG89" s="428"/>
      <c r="BH89" s="428"/>
      <c r="BI89" s="428"/>
      <c r="BJ89" s="755"/>
      <c r="BK89" s="3"/>
      <c r="BL89" s="3"/>
      <c r="BM89" s="3"/>
      <c r="BN89" s="3"/>
    </row>
    <row r="90" spans="1:66" ht="12.75">
      <c r="A90" s="935"/>
      <c r="B90" s="936"/>
      <c r="C90" s="936"/>
      <c r="D90" s="936"/>
      <c r="E90" s="936"/>
      <c r="F90" s="936"/>
      <c r="G90" s="936"/>
      <c r="H90" s="936"/>
      <c r="I90" s="936"/>
      <c r="J90" s="936"/>
      <c r="K90" s="936"/>
      <c r="L90" s="936"/>
      <c r="M90" s="937"/>
      <c r="N90" s="853"/>
      <c r="O90" s="853"/>
      <c r="P90" s="854"/>
      <c r="Q90" s="854"/>
      <c r="R90" s="854"/>
      <c r="S90" s="854"/>
      <c r="T90" s="752"/>
      <c r="U90" s="752"/>
      <c r="V90" s="752"/>
      <c r="W90" s="752"/>
      <c r="X90" s="752"/>
      <c r="Y90" s="752"/>
      <c r="AB90" s="875"/>
      <c r="AC90" s="876"/>
      <c r="AD90" s="876"/>
      <c r="AE90" s="876"/>
      <c r="AF90" s="876"/>
      <c r="AG90" s="876"/>
      <c r="AH90" s="876"/>
      <c r="AI90" s="876"/>
      <c r="AJ90" s="876"/>
      <c r="AK90" s="876"/>
      <c r="AL90" s="876"/>
      <c r="AM90" s="876"/>
      <c r="AN90" s="876"/>
      <c r="AO90" s="876"/>
      <c r="AP90" s="876"/>
      <c r="AQ90" s="876"/>
      <c r="AR90" s="876"/>
      <c r="AS90" s="876"/>
      <c r="AT90" s="877"/>
      <c r="AV90" s="3"/>
      <c r="AW90" s="855"/>
      <c r="AX90" s="428"/>
      <c r="AY90" s="428"/>
      <c r="AZ90" s="428"/>
      <c r="BA90" s="428"/>
      <c r="BB90" s="428"/>
      <c r="BC90" s="428"/>
      <c r="BD90" s="428"/>
      <c r="BE90" s="428"/>
      <c r="BF90" s="428"/>
      <c r="BG90" s="428"/>
      <c r="BH90" s="428"/>
      <c r="BI90" s="428"/>
      <c r="BJ90" s="755"/>
      <c r="BK90" s="3"/>
      <c r="BL90" s="3"/>
      <c r="BM90" s="3"/>
      <c r="BN90" s="3"/>
    </row>
    <row r="91" spans="1:66" ht="12.75">
      <c r="A91" s="935"/>
      <c r="B91" s="936"/>
      <c r="C91" s="936"/>
      <c r="D91" s="936"/>
      <c r="E91" s="936"/>
      <c r="F91" s="936"/>
      <c r="G91" s="936"/>
      <c r="H91" s="936"/>
      <c r="I91" s="936"/>
      <c r="J91" s="936"/>
      <c r="K91" s="936"/>
      <c r="L91" s="936"/>
      <c r="M91" s="937"/>
      <c r="N91" s="853"/>
      <c r="O91" s="853"/>
      <c r="P91" s="854"/>
      <c r="Q91" s="854"/>
      <c r="R91" s="854"/>
      <c r="S91" s="854"/>
      <c r="T91" s="752"/>
      <c r="U91" s="752"/>
      <c r="V91" s="752"/>
      <c r="W91" s="752"/>
      <c r="X91" s="752"/>
      <c r="Y91" s="752"/>
      <c r="AB91" s="875"/>
      <c r="AC91" s="876"/>
      <c r="AD91" s="876"/>
      <c r="AE91" s="876"/>
      <c r="AF91" s="876"/>
      <c r="AG91" s="876"/>
      <c r="AH91" s="876"/>
      <c r="AI91" s="876"/>
      <c r="AJ91" s="876"/>
      <c r="AK91" s="876"/>
      <c r="AL91" s="876"/>
      <c r="AM91" s="876"/>
      <c r="AN91" s="876"/>
      <c r="AO91" s="876"/>
      <c r="AP91" s="876"/>
      <c r="AQ91" s="876"/>
      <c r="AR91" s="876"/>
      <c r="AS91" s="876"/>
      <c r="AT91" s="877"/>
      <c r="AV91" s="3"/>
      <c r="AW91" s="855"/>
      <c r="AX91" s="428"/>
      <c r="AY91" s="428"/>
      <c r="AZ91" s="428"/>
      <c r="BA91" s="428"/>
      <c r="BB91" s="428"/>
      <c r="BC91" s="428"/>
      <c r="BD91" s="428"/>
      <c r="BE91" s="428"/>
      <c r="BF91" s="428"/>
      <c r="BG91" s="428"/>
      <c r="BH91" s="428"/>
      <c r="BI91" s="428"/>
      <c r="BJ91" s="755"/>
      <c r="BK91" s="3"/>
      <c r="BL91" s="3"/>
      <c r="BM91" s="3"/>
      <c r="BN91" s="3"/>
    </row>
    <row r="92" spans="1:66" ht="12.75">
      <c r="A92" s="935"/>
      <c r="B92" s="936"/>
      <c r="C92" s="936"/>
      <c r="D92" s="936"/>
      <c r="E92" s="936"/>
      <c r="F92" s="936"/>
      <c r="G92" s="936"/>
      <c r="H92" s="936"/>
      <c r="I92" s="936"/>
      <c r="J92" s="936"/>
      <c r="K92" s="936"/>
      <c r="L92" s="936"/>
      <c r="M92" s="937"/>
      <c r="N92" s="853"/>
      <c r="O92" s="853"/>
      <c r="P92" s="854"/>
      <c r="Q92" s="854"/>
      <c r="R92" s="854"/>
      <c r="S92" s="854"/>
      <c r="T92" s="752"/>
      <c r="U92" s="752"/>
      <c r="V92" s="752"/>
      <c r="W92" s="752"/>
      <c r="X92" s="752"/>
      <c r="Y92" s="752"/>
      <c r="AB92" s="875"/>
      <c r="AC92" s="876"/>
      <c r="AD92" s="876"/>
      <c r="AE92" s="876"/>
      <c r="AF92" s="876"/>
      <c r="AG92" s="876"/>
      <c r="AH92" s="876"/>
      <c r="AI92" s="876"/>
      <c r="AJ92" s="876"/>
      <c r="AK92" s="876"/>
      <c r="AL92" s="876"/>
      <c r="AM92" s="876"/>
      <c r="AN92" s="876"/>
      <c r="AO92" s="876"/>
      <c r="AP92" s="876"/>
      <c r="AQ92" s="876"/>
      <c r="AR92" s="876"/>
      <c r="AS92" s="876"/>
      <c r="AT92" s="877"/>
      <c r="AV92" s="3"/>
      <c r="AW92" s="855"/>
      <c r="AX92" s="428"/>
      <c r="AY92" s="428"/>
      <c r="AZ92" s="428"/>
      <c r="BA92" s="428"/>
      <c r="BB92" s="428"/>
      <c r="BC92" s="428"/>
      <c r="BD92" s="428"/>
      <c r="BE92" s="428"/>
      <c r="BF92" s="428"/>
      <c r="BG92" s="428"/>
      <c r="BH92" s="428"/>
      <c r="BI92" s="428"/>
      <c r="BJ92" s="755"/>
      <c r="BK92" s="3"/>
      <c r="BL92" s="3"/>
      <c r="BM92" s="3"/>
      <c r="BN92" s="3"/>
    </row>
    <row r="93" spans="1:66" ht="12.75">
      <c r="A93" s="935"/>
      <c r="B93" s="936"/>
      <c r="C93" s="936"/>
      <c r="D93" s="936"/>
      <c r="E93" s="936"/>
      <c r="F93" s="936"/>
      <c r="G93" s="936"/>
      <c r="H93" s="936"/>
      <c r="I93" s="936"/>
      <c r="J93" s="936"/>
      <c r="K93" s="936"/>
      <c r="L93" s="936"/>
      <c r="M93" s="937"/>
      <c r="N93" s="853"/>
      <c r="O93" s="853"/>
      <c r="P93" s="854"/>
      <c r="Q93" s="854"/>
      <c r="R93" s="854"/>
      <c r="S93" s="854"/>
      <c r="T93" s="752"/>
      <c r="U93" s="752"/>
      <c r="V93" s="752"/>
      <c r="W93" s="752"/>
      <c r="X93" s="752"/>
      <c r="Y93" s="752"/>
      <c r="AB93" s="875"/>
      <c r="AC93" s="876"/>
      <c r="AD93" s="876"/>
      <c r="AE93" s="876"/>
      <c r="AF93" s="876"/>
      <c r="AG93" s="876"/>
      <c r="AH93" s="876"/>
      <c r="AI93" s="876"/>
      <c r="AJ93" s="876"/>
      <c r="AK93" s="876"/>
      <c r="AL93" s="876"/>
      <c r="AM93" s="876"/>
      <c r="AN93" s="876"/>
      <c r="AO93" s="876"/>
      <c r="AP93" s="876"/>
      <c r="AQ93" s="876"/>
      <c r="AR93" s="876"/>
      <c r="AS93" s="876"/>
      <c r="AT93" s="877"/>
      <c r="AV93" s="3"/>
      <c r="AW93" s="855"/>
      <c r="AX93" s="428"/>
      <c r="AY93" s="428"/>
      <c r="AZ93" s="428"/>
      <c r="BA93" s="428"/>
      <c r="BB93" s="428"/>
      <c r="BC93" s="428"/>
      <c r="BD93" s="428"/>
      <c r="BE93" s="428"/>
      <c r="BF93" s="428"/>
      <c r="BG93" s="428"/>
      <c r="BH93" s="428"/>
      <c r="BI93" s="428"/>
      <c r="BJ93" s="755"/>
      <c r="BK93" s="3"/>
      <c r="BL93" s="3"/>
      <c r="BM93" s="3"/>
      <c r="BN93" s="3"/>
    </row>
    <row r="94" spans="1:66" ht="12.75">
      <c r="A94" s="935"/>
      <c r="B94" s="936"/>
      <c r="C94" s="936"/>
      <c r="D94" s="936"/>
      <c r="E94" s="936"/>
      <c r="F94" s="936"/>
      <c r="G94" s="936"/>
      <c r="H94" s="936"/>
      <c r="I94" s="936"/>
      <c r="J94" s="936"/>
      <c r="K94" s="936"/>
      <c r="L94" s="936"/>
      <c r="M94" s="937"/>
      <c r="N94" s="853"/>
      <c r="O94" s="853"/>
      <c r="P94" s="854"/>
      <c r="Q94" s="854"/>
      <c r="R94" s="854"/>
      <c r="S94" s="854"/>
      <c r="T94" s="752"/>
      <c r="U94" s="752"/>
      <c r="V94" s="752"/>
      <c r="W94" s="752"/>
      <c r="X94" s="752"/>
      <c r="Y94" s="752"/>
      <c r="AB94" s="875"/>
      <c r="AC94" s="876"/>
      <c r="AD94" s="876"/>
      <c r="AE94" s="876"/>
      <c r="AF94" s="876"/>
      <c r="AG94" s="876"/>
      <c r="AH94" s="876"/>
      <c r="AI94" s="876"/>
      <c r="AJ94" s="876"/>
      <c r="AK94" s="876"/>
      <c r="AL94" s="876"/>
      <c r="AM94" s="876"/>
      <c r="AN94" s="876"/>
      <c r="AO94" s="876"/>
      <c r="AP94" s="876"/>
      <c r="AQ94" s="876"/>
      <c r="AR94" s="876"/>
      <c r="AS94" s="876"/>
      <c r="AT94" s="877"/>
      <c r="AV94" s="3"/>
      <c r="AW94" s="855"/>
      <c r="AX94" s="428"/>
      <c r="AY94" s="428"/>
      <c r="AZ94" s="428"/>
      <c r="BA94" s="428"/>
      <c r="BB94" s="428"/>
      <c r="BC94" s="428"/>
      <c r="BD94" s="428"/>
      <c r="BE94" s="428"/>
      <c r="BF94" s="428"/>
      <c r="BG94" s="428"/>
      <c r="BH94" s="428"/>
      <c r="BI94" s="428"/>
      <c r="BJ94" s="755"/>
      <c r="BK94" s="3"/>
      <c r="BL94" s="3"/>
      <c r="BM94" s="3"/>
      <c r="BN94" s="3"/>
    </row>
    <row r="95" spans="1:66" ht="12.75">
      <c r="A95" s="935"/>
      <c r="B95" s="936"/>
      <c r="C95" s="936"/>
      <c r="D95" s="936"/>
      <c r="E95" s="936"/>
      <c r="F95" s="936"/>
      <c r="G95" s="936"/>
      <c r="H95" s="936"/>
      <c r="I95" s="936"/>
      <c r="J95" s="936"/>
      <c r="K95" s="936"/>
      <c r="L95" s="936"/>
      <c r="M95" s="937"/>
      <c r="N95" s="853"/>
      <c r="O95" s="853"/>
      <c r="P95" s="854"/>
      <c r="Q95" s="854"/>
      <c r="R95" s="854"/>
      <c r="S95" s="854"/>
      <c r="T95" s="752"/>
      <c r="U95" s="752"/>
      <c r="V95" s="752"/>
      <c r="W95" s="752"/>
      <c r="X95" s="752"/>
      <c r="Y95" s="752"/>
      <c r="AB95" s="875"/>
      <c r="AC95" s="876"/>
      <c r="AD95" s="876"/>
      <c r="AE95" s="876"/>
      <c r="AF95" s="876"/>
      <c r="AG95" s="876"/>
      <c r="AH95" s="876"/>
      <c r="AI95" s="876"/>
      <c r="AJ95" s="876"/>
      <c r="AK95" s="876"/>
      <c r="AL95" s="876"/>
      <c r="AM95" s="876"/>
      <c r="AN95" s="876"/>
      <c r="AO95" s="876"/>
      <c r="AP95" s="876"/>
      <c r="AQ95" s="876"/>
      <c r="AR95" s="876"/>
      <c r="AS95" s="876"/>
      <c r="AT95" s="877"/>
      <c r="AV95" s="3"/>
      <c r="AW95" s="855"/>
      <c r="AX95" s="428"/>
      <c r="AY95" s="428"/>
      <c r="AZ95" s="428"/>
      <c r="BA95" s="428"/>
      <c r="BB95" s="428"/>
      <c r="BC95" s="428"/>
      <c r="BD95" s="428"/>
      <c r="BE95" s="428"/>
      <c r="BF95" s="428"/>
      <c r="BG95" s="428"/>
      <c r="BH95" s="428"/>
      <c r="BI95" s="428"/>
      <c r="BJ95" s="755"/>
      <c r="BK95" s="3"/>
      <c r="BL95" s="3"/>
      <c r="BM95" s="3"/>
      <c r="BN95" s="3"/>
    </row>
    <row r="96" spans="1:66" ht="12.75">
      <c r="A96" s="935"/>
      <c r="B96" s="936"/>
      <c r="C96" s="936"/>
      <c r="D96" s="936"/>
      <c r="E96" s="936"/>
      <c r="F96" s="936"/>
      <c r="G96" s="936"/>
      <c r="H96" s="936"/>
      <c r="I96" s="936"/>
      <c r="J96" s="936"/>
      <c r="K96" s="936"/>
      <c r="L96" s="936"/>
      <c r="M96" s="937"/>
      <c r="N96" s="853"/>
      <c r="O96" s="853"/>
      <c r="P96" s="854"/>
      <c r="Q96" s="854"/>
      <c r="R96" s="854"/>
      <c r="S96" s="854"/>
      <c r="T96" s="752"/>
      <c r="U96" s="752"/>
      <c r="V96" s="752"/>
      <c r="W96" s="752"/>
      <c r="X96" s="752"/>
      <c r="Y96" s="752"/>
      <c r="AB96" s="875"/>
      <c r="AC96" s="876"/>
      <c r="AD96" s="876"/>
      <c r="AE96" s="876"/>
      <c r="AF96" s="876"/>
      <c r="AG96" s="876"/>
      <c r="AH96" s="876"/>
      <c r="AI96" s="876"/>
      <c r="AJ96" s="876"/>
      <c r="AK96" s="876"/>
      <c r="AL96" s="876"/>
      <c r="AM96" s="876"/>
      <c r="AN96" s="876"/>
      <c r="AO96" s="876"/>
      <c r="AP96" s="876"/>
      <c r="AQ96" s="876"/>
      <c r="AR96" s="876"/>
      <c r="AS96" s="876"/>
      <c r="AT96" s="877"/>
      <c r="AV96" s="3"/>
      <c r="AW96" s="855"/>
      <c r="AX96" s="428"/>
      <c r="AY96" s="428"/>
      <c r="AZ96" s="428"/>
      <c r="BA96" s="428"/>
      <c r="BB96" s="428"/>
      <c r="BC96" s="428"/>
      <c r="BD96" s="428"/>
      <c r="BE96" s="428"/>
      <c r="BF96" s="428"/>
      <c r="BG96" s="428"/>
      <c r="BH96" s="428"/>
      <c r="BI96" s="428"/>
      <c r="BJ96" s="755"/>
      <c r="BK96" s="3"/>
      <c r="BL96" s="3"/>
      <c r="BM96" s="3"/>
      <c r="BN96" s="3"/>
    </row>
    <row r="97" spans="1:66" ht="12.75">
      <c r="A97" s="935"/>
      <c r="B97" s="936"/>
      <c r="C97" s="936"/>
      <c r="D97" s="936"/>
      <c r="E97" s="936"/>
      <c r="F97" s="936"/>
      <c r="G97" s="936"/>
      <c r="H97" s="936"/>
      <c r="I97" s="936"/>
      <c r="J97" s="936"/>
      <c r="K97" s="936"/>
      <c r="L97" s="936"/>
      <c r="M97" s="937"/>
      <c r="N97" s="853"/>
      <c r="O97" s="853"/>
      <c r="P97" s="854"/>
      <c r="Q97" s="854"/>
      <c r="R97" s="854"/>
      <c r="S97" s="854"/>
      <c r="T97" s="752"/>
      <c r="U97" s="752"/>
      <c r="V97" s="752"/>
      <c r="W97" s="752"/>
      <c r="X97" s="752"/>
      <c r="Y97" s="752"/>
      <c r="AB97" s="875"/>
      <c r="AC97" s="876"/>
      <c r="AD97" s="876"/>
      <c r="AE97" s="876"/>
      <c r="AF97" s="876"/>
      <c r="AG97" s="876"/>
      <c r="AH97" s="876"/>
      <c r="AI97" s="876"/>
      <c r="AJ97" s="876"/>
      <c r="AK97" s="876"/>
      <c r="AL97" s="876"/>
      <c r="AM97" s="876"/>
      <c r="AN97" s="876"/>
      <c r="AO97" s="876"/>
      <c r="AP97" s="876"/>
      <c r="AQ97" s="876"/>
      <c r="AR97" s="876"/>
      <c r="AS97" s="876"/>
      <c r="AT97" s="877"/>
      <c r="AV97" s="3"/>
      <c r="AW97" s="855"/>
      <c r="AX97" s="428"/>
      <c r="AY97" s="428"/>
      <c r="AZ97" s="428"/>
      <c r="BA97" s="428"/>
      <c r="BB97" s="428"/>
      <c r="BC97" s="428"/>
      <c r="BD97" s="428"/>
      <c r="BE97" s="428"/>
      <c r="BF97" s="428"/>
      <c r="BG97" s="428"/>
      <c r="BH97" s="428"/>
      <c r="BI97" s="428"/>
      <c r="BJ97" s="755"/>
      <c r="BK97" s="3"/>
      <c r="BL97" s="3"/>
      <c r="BM97" s="3"/>
      <c r="BN97" s="3"/>
    </row>
    <row r="98" spans="1:66" ht="12.75">
      <c r="A98" s="935"/>
      <c r="B98" s="936"/>
      <c r="C98" s="936"/>
      <c r="D98" s="936"/>
      <c r="E98" s="936"/>
      <c r="F98" s="936"/>
      <c r="G98" s="936"/>
      <c r="H98" s="936"/>
      <c r="I98" s="936"/>
      <c r="J98" s="936"/>
      <c r="K98" s="936"/>
      <c r="L98" s="936"/>
      <c r="M98" s="937"/>
      <c r="N98" s="853"/>
      <c r="O98" s="853"/>
      <c r="P98" s="854"/>
      <c r="Q98" s="854"/>
      <c r="R98" s="854"/>
      <c r="S98" s="854"/>
      <c r="T98" s="752"/>
      <c r="U98" s="752"/>
      <c r="V98" s="752"/>
      <c r="W98" s="752"/>
      <c r="X98" s="752"/>
      <c r="Y98" s="752"/>
      <c r="AB98" s="875"/>
      <c r="AC98" s="876"/>
      <c r="AD98" s="876"/>
      <c r="AE98" s="876"/>
      <c r="AF98" s="876"/>
      <c r="AG98" s="876"/>
      <c r="AH98" s="876"/>
      <c r="AI98" s="876"/>
      <c r="AJ98" s="876"/>
      <c r="AK98" s="876"/>
      <c r="AL98" s="876"/>
      <c r="AM98" s="876"/>
      <c r="AN98" s="876"/>
      <c r="AO98" s="876"/>
      <c r="AP98" s="876"/>
      <c r="AQ98" s="876"/>
      <c r="AR98" s="876"/>
      <c r="AS98" s="876"/>
      <c r="AT98" s="877"/>
      <c r="AV98" s="3"/>
      <c r="AW98" s="855"/>
      <c r="AX98" s="428"/>
      <c r="AY98" s="428"/>
      <c r="AZ98" s="428"/>
      <c r="BA98" s="428"/>
      <c r="BB98" s="428"/>
      <c r="BC98" s="428"/>
      <c r="BD98" s="428"/>
      <c r="BE98" s="428"/>
      <c r="BF98" s="428"/>
      <c r="BG98" s="428"/>
      <c r="BH98" s="428"/>
      <c r="BI98" s="428"/>
      <c r="BJ98" s="755"/>
      <c r="BK98" s="3"/>
      <c r="BL98" s="3"/>
      <c r="BM98" s="3"/>
      <c r="BN98" s="3"/>
    </row>
    <row r="99" spans="1:66" ht="12.75">
      <c r="A99" s="935"/>
      <c r="B99" s="936"/>
      <c r="C99" s="936"/>
      <c r="D99" s="936"/>
      <c r="E99" s="936"/>
      <c r="F99" s="936"/>
      <c r="G99" s="936"/>
      <c r="H99" s="936"/>
      <c r="I99" s="936"/>
      <c r="J99" s="936"/>
      <c r="K99" s="936"/>
      <c r="L99" s="936"/>
      <c r="M99" s="937"/>
      <c r="N99" s="853"/>
      <c r="O99" s="853"/>
      <c r="P99" s="854"/>
      <c r="Q99" s="854"/>
      <c r="R99" s="854"/>
      <c r="S99" s="854"/>
      <c r="T99" s="752"/>
      <c r="U99" s="752"/>
      <c r="V99" s="752"/>
      <c r="W99" s="752"/>
      <c r="X99" s="752"/>
      <c r="Y99" s="752"/>
      <c r="AB99" s="875"/>
      <c r="AC99" s="876"/>
      <c r="AD99" s="876"/>
      <c r="AE99" s="876"/>
      <c r="AF99" s="876"/>
      <c r="AG99" s="876"/>
      <c r="AH99" s="876"/>
      <c r="AI99" s="876"/>
      <c r="AJ99" s="876"/>
      <c r="AK99" s="876"/>
      <c r="AL99" s="876"/>
      <c r="AM99" s="876"/>
      <c r="AN99" s="876"/>
      <c r="AO99" s="876"/>
      <c r="AP99" s="876"/>
      <c r="AQ99" s="876"/>
      <c r="AR99" s="876"/>
      <c r="AS99" s="876"/>
      <c r="AT99" s="877"/>
      <c r="AV99" s="3"/>
      <c r="AW99" s="855"/>
      <c r="AX99" s="428"/>
      <c r="AY99" s="428"/>
      <c r="AZ99" s="428"/>
      <c r="BA99" s="428"/>
      <c r="BB99" s="428"/>
      <c r="BC99" s="428"/>
      <c r="BD99" s="428"/>
      <c r="BE99" s="428"/>
      <c r="BF99" s="428"/>
      <c r="BG99" s="428"/>
      <c r="BH99" s="428"/>
      <c r="BI99" s="428"/>
      <c r="BJ99" s="755"/>
      <c r="BK99" s="3"/>
      <c r="BL99" s="3"/>
      <c r="BM99" s="3"/>
      <c r="BN99" s="3"/>
    </row>
    <row r="100" spans="1:66" ht="12.75">
      <c r="A100" s="935"/>
      <c r="B100" s="936"/>
      <c r="C100" s="936"/>
      <c r="D100" s="936"/>
      <c r="E100" s="936"/>
      <c r="F100" s="936"/>
      <c r="G100" s="936"/>
      <c r="H100" s="936"/>
      <c r="I100" s="936"/>
      <c r="J100" s="936"/>
      <c r="K100" s="936"/>
      <c r="L100" s="936"/>
      <c r="M100" s="937"/>
      <c r="N100" s="853"/>
      <c r="O100" s="853"/>
      <c r="P100" s="854"/>
      <c r="Q100" s="854"/>
      <c r="R100" s="854"/>
      <c r="S100" s="854"/>
      <c r="T100" s="752"/>
      <c r="U100" s="752"/>
      <c r="V100" s="752"/>
      <c r="W100" s="752"/>
      <c r="X100" s="752"/>
      <c r="Y100" s="752"/>
      <c r="AB100" s="875"/>
      <c r="AC100" s="876"/>
      <c r="AD100" s="876"/>
      <c r="AE100" s="876"/>
      <c r="AF100" s="876"/>
      <c r="AG100" s="876"/>
      <c r="AH100" s="876"/>
      <c r="AI100" s="876"/>
      <c r="AJ100" s="876"/>
      <c r="AK100" s="876"/>
      <c r="AL100" s="876"/>
      <c r="AM100" s="876"/>
      <c r="AN100" s="876"/>
      <c r="AO100" s="876"/>
      <c r="AP100" s="876"/>
      <c r="AQ100" s="876"/>
      <c r="AR100" s="876"/>
      <c r="AS100" s="876"/>
      <c r="AT100" s="877"/>
      <c r="AV100" s="3"/>
      <c r="AW100" s="855"/>
      <c r="AX100" s="428"/>
      <c r="AY100" s="428"/>
      <c r="AZ100" s="428"/>
      <c r="BA100" s="428"/>
      <c r="BB100" s="428"/>
      <c r="BC100" s="428"/>
      <c r="BD100" s="428"/>
      <c r="BE100" s="428"/>
      <c r="BF100" s="428"/>
      <c r="BG100" s="428"/>
      <c r="BH100" s="428"/>
      <c r="BI100" s="428"/>
      <c r="BJ100" s="755"/>
      <c r="BK100" s="3"/>
      <c r="BL100" s="3"/>
      <c r="BM100" s="3"/>
      <c r="BN100" s="3"/>
    </row>
    <row r="101" spans="1:66" ht="12.75">
      <c r="A101" s="935"/>
      <c r="B101" s="936"/>
      <c r="C101" s="936"/>
      <c r="D101" s="936"/>
      <c r="E101" s="936"/>
      <c r="F101" s="936"/>
      <c r="G101" s="936"/>
      <c r="H101" s="936"/>
      <c r="I101" s="936"/>
      <c r="J101" s="936"/>
      <c r="K101" s="936"/>
      <c r="L101" s="936"/>
      <c r="M101" s="937"/>
      <c r="N101" s="853"/>
      <c r="O101" s="853"/>
      <c r="P101" s="854"/>
      <c r="Q101" s="854"/>
      <c r="R101" s="854"/>
      <c r="S101" s="854"/>
      <c r="T101" s="752"/>
      <c r="U101" s="752"/>
      <c r="V101" s="752"/>
      <c r="W101" s="752"/>
      <c r="X101" s="752"/>
      <c r="Y101" s="752"/>
      <c r="AB101" s="875"/>
      <c r="AC101" s="876"/>
      <c r="AD101" s="876"/>
      <c r="AE101" s="876"/>
      <c r="AF101" s="876"/>
      <c r="AG101" s="876"/>
      <c r="AH101" s="876"/>
      <c r="AI101" s="876"/>
      <c r="AJ101" s="876"/>
      <c r="AK101" s="876"/>
      <c r="AL101" s="876"/>
      <c r="AM101" s="876"/>
      <c r="AN101" s="876"/>
      <c r="AO101" s="876"/>
      <c r="AP101" s="876"/>
      <c r="AQ101" s="876"/>
      <c r="AR101" s="876"/>
      <c r="AS101" s="876"/>
      <c r="AT101" s="877"/>
      <c r="AV101" s="3"/>
      <c r="AW101" s="855"/>
      <c r="AX101" s="428"/>
      <c r="AY101" s="428"/>
      <c r="AZ101" s="428"/>
      <c r="BA101" s="428"/>
      <c r="BB101" s="428"/>
      <c r="BC101" s="428"/>
      <c r="BD101" s="428"/>
      <c r="BE101" s="428"/>
      <c r="BF101" s="428"/>
      <c r="BG101" s="428"/>
      <c r="BH101" s="428"/>
      <c r="BI101" s="428"/>
      <c r="BJ101" s="755"/>
      <c r="BK101" s="3"/>
      <c r="BL101" s="3"/>
      <c r="BM101" s="3"/>
      <c r="BN101" s="3"/>
    </row>
    <row r="102" spans="1:66" ht="12.75">
      <c r="A102" s="935"/>
      <c r="B102" s="936"/>
      <c r="C102" s="936"/>
      <c r="D102" s="936"/>
      <c r="E102" s="936"/>
      <c r="F102" s="936"/>
      <c r="G102" s="936"/>
      <c r="H102" s="936"/>
      <c r="I102" s="936"/>
      <c r="J102" s="936"/>
      <c r="K102" s="936"/>
      <c r="L102" s="936"/>
      <c r="M102" s="937"/>
      <c r="N102" s="853"/>
      <c r="O102" s="853"/>
      <c r="P102" s="854"/>
      <c r="Q102" s="854"/>
      <c r="R102" s="854"/>
      <c r="S102" s="854"/>
      <c r="T102" s="752"/>
      <c r="U102" s="752"/>
      <c r="V102" s="752"/>
      <c r="W102" s="752"/>
      <c r="X102" s="752"/>
      <c r="Y102" s="752"/>
      <c r="AB102" s="875"/>
      <c r="AC102" s="876"/>
      <c r="AD102" s="876"/>
      <c r="AE102" s="876"/>
      <c r="AF102" s="876"/>
      <c r="AG102" s="876"/>
      <c r="AH102" s="876"/>
      <c r="AI102" s="876"/>
      <c r="AJ102" s="876"/>
      <c r="AK102" s="876"/>
      <c r="AL102" s="876"/>
      <c r="AM102" s="876"/>
      <c r="AN102" s="876"/>
      <c r="AO102" s="876"/>
      <c r="AP102" s="876"/>
      <c r="AQ102" s="876"/>
      <c r="AR102" s="876"/>
      <c r="AS102" s="876"/>
      <c r="AT102" s="877"/>
      <c r="AV102" s="3"/>
      <c r="AW102" s="855"/>
      <c r="AX102" s="428"/>
      <c r="AY102" s="428"/>
      <c r="AZ102" s="428"/>
      <c r="BA102" s="428"/>
      <c r="BB102" s="428"/>
      <c r="BC102" s="428"/>
      <c r="BD102" s="428"/>
      <c r="BE102" s="428"/>
      <c r="BF102" s="428"/>
      <c r="BG102" s="428"/>
      <c r="BH102" s="428"/>
      <c r="BI102" s="428"/>
      <c r="BJ102" s="755"/>
      <c r="BK102" s="3"/>
      <c r="BL102" s="3"/>
      <c r="BM102" s="3"/>
      <c r="BN102" s="3"/>
    </row>
    <row r="103" spans="1:66" ht="12.75">
      <c r="A103" s="935"/>
      <c r="B103" s="936"/>
      <c r="C103" s="936"/>
      <c r="D103" s="936"/>
      <c r="E103" s="936"/>
      <c r="F103" s="936"/>
      <c r="G103" s="936"/>
      <c r="H103" s="936"/>
      <c r="I103" s="936"/>
      <c r="J103" s="936"/>
      <c r="K103" s="936"/>
      <c r="L103" s="936"/>
      <c r="M103" s="937"/>
      <c r="N103" s="853"/>
      <c r="O103" s="853"/>
      <c r="P103" s="854"/>
      <c r="Q103" s="854"/>
      <c r="R103" s="854"/>
      <c r="S103" s="854"/>
      <c r="T103" s="752"/>
      <c r="U103" s="752"/>
      <c r="V103" s="752"/>
      <c r="W103" s="752"/>
      <c r="X103" s="752"/>
      <c r="Y103" s="752"/>
      <c r="AB103" s="875"/>
      <c r="AC103" s="876"/>
      <c r="AD103" s="876"/>
      <c r="AE103" s="876"/>
      <c r="AF103" s="876"/>
      <c r="AG103" s="876"/>
      <c r="AH103" s="876"/>
      <c r="AI103" s="876"/>
      <c r="AJ103" s="876"/>
      <c r="AK103" s="876"/>
      <c r="AL103" s="876"/>
      <c r="AM103" s="876"/>
      <c r="AN103" s="876"/>
      <c r="AO103" s="876"/>
      <c r="AP103" s="876"/>
      <c r="AQ103" s="876"/>
      <c r="AR103" s="876"/>
      <c r="AS103" s="876"/>
      <c r="AT103" s="877"/>
      <c r="AV103" s="3"/>
      <c r="AW103" s="855"/>
      <c r="AX103" s="428"/>
      <c r="AY103" s="428"/>
      <c r="AZ103" s="428"/>
      <c r="BA103" s="428"/>
      <c r="BB103" s="428"/>
      <c r="BC103" s="428"/>
      <c r="BD103" s="428"/>
      <c r="BE103" s="428"/>
      <c r="BF103" s="428"/>
      <c r="BG103" s="428"/>
      <c r="BH103" s="428"/>
      <c r="BI103" s="428"/>
      <c r="BJ103" s="755"/>
      <c r="BK103" s="3"/>
      <c r="BL103" s="3"/>
      <c r="BM103" s="3"/>
      <c r="BN103" s="3"/>
    </row>
    <row r="104" spans="1:66" ht="12.75">
      <c r="A104" s="935"/>
      <c r="B104" s="936"/>
      <c r="C104" s="936"/>
      <c r="D104" s="936"/>
      <c r="E104" s="936"/>
      <c r="F104" s="936"/>
      <c r="G104" s="936"/>
      <c r="H104" s="936"/>
      <c r="I104" s="936"/>
      <c r="J104" s="936"/>
      <c r="K104" s="936"/>
      <c r="L104" s="936"/>
      <c r="M104" s="937"/>
      <c r="N104" s="853"/>
      <c r="O104" s="853"/>
      <c r="P104" s="854"/>
      <c r="Q104" s="854"/>
      <c r="R104" s="854"/>
      <c r="S104" s="854"/>
      <c r="T104" s="752"/>
      <c r="U104" s="752"/>
      <c r="V104" s="752"/>
      <c r="W104" s="752"/>
      <c r="X104" s="752"/>
      <c r="Y104" s="752"/>
      <c r="AB104" s="875"/>
      <c r="AC104" s="876"/>
      <c r="AD104" s="876"/>
      <c r="AE104" s="876"/>
      <c r="AF104" s="876"/>
      <c r="AG104" s="876"/>
      <c r="AH104" s="876"/>
      <c r="AI104" s="876"/>
      <c r="AJ104" s="876"/>
      <c r="AK104" s="876"/>
      <c r="AL104" s="876"/>
      <c r="AM104" s="876"/>
      <c r="AN104" s="876"/>
      <c r="AO104" s="876"/>
      <c r="AP104" s="876"/>
      <c r="AQ104" s="876"/>
      <c r="AR104" s="876"/>
      <c r="AS104" s="876"/>
      <c r="AT104" s="877"/>
      <c r="AV104" s="3"/>
      <c r="AW104" s="855"/>
      <c r="AX104" s="428"/>
      <c r="AY104" s="428"/>
      <c r="AZ104" s="428"/>
      <c r="BA104" s="428"/>
      <c r="BB104" s="428"/>
      <c r="BC104" s="428"/>
      <c r="BD104" s="428"/>
      <c r="BE104" s="428"/>
      <c r="BF104" s="428"/>
      <c r="BG104" s="428"/>
      <c r="BH104" s="428"/>
      <c r="BI104" s="428"/>
      <c r="BJ104" s="755"/>
      <c r="BK104" s="3"/>
      <c r="BL104" s="3"/>
      <c r="BM104" s="3"/>
      <c r="BN104" s="3"/>
    </row>
    <row r="105" spans="1:66" ht="12.75">
      <c r="A105" s="935"/>
      <c r="B105" s="936"/>
      <c r="C105" s="936"/>
      <c r="D105" s="936"/>
      <c r="E105" s="936"/>
      <c r="F105" s="936"/>
      <c r="G105" s="936"/>
      <c r="H105" s="936"/>
      <c r="I105" s="936"/>
      <c r="J105" s="936"/>
      <c r="K105" s="936"/>
      <c r="L105" s="936"/>
      <c r="M105" s="937"/>
      <c r="N105" s="853"/>
      <c r="O105" s="853"/>
      <c r="P105" s="854"/>
      <c r="Q105" s="854"/>
      <c r="R105" s="854"/>
      <c r="S105" s="854"/>
      <c r="T105" s="752"/>
      <c r="U105" s="752"/>
      <c r="V105" s="752"/>
      <c r="W105" s="752"/>
      <c r="X105" s="752"/>
      <c r="Y105" s="752"/>
      <c r="AB105" s="875"/>
      <c r="AC105" s="876"/>
      <c r="AD105" s="876"/>
      <c r="AE105" s="876"/>
      <c r="AF105" s="876"/>
      <c r="AG105" s="876"/>
      <c r="AH105" s="876"/>
      <c r="AI105" s="876"/>
      <c r="AJ105" s="876"/>
      <c r="AK105" s="876"/>
      <c r="AL105" s="876"/>
      <c r="AM105" s="876"/>
      <c r="AN105" s="876"/>
      <c r="AO105" s="876"/>
      <c r="AP105" s="876"/>
      <c r="AQ105" s="876"/>
      <c r="AR105" s="876"/>
      <c r="AS105" s="876"/>
      <c r="AT105" s="877"/>
      <c r="AV105" s="3"/>
      <c r="AW105" s="855"/>
      <c r="AX105" s="428"/>
      <c r="AY105" s="428"/>
      <c r="AZ105" s="428"/>
      <c r="BA105" s="428"/>
      <c r="BB105" s="428"/>
      <c r="BC105" s="428"/>
      <c r="BD105" s="428"/>
      <c r="BE105" s="428"/>
      <c r="BF105" s="428"/>
      <c r="BG105" s="428"/>
      <c r="BH105" s="428"/>
      <c r="BI105" s="428"/>
      <c r="BJ105" s="755"/>
      <c r="BK105" s="3"/>
      <c r="BL105" s="3"/>
      <c r="BM105" s="3"/>
      <c r="BN105" s="3"/>
    </row>
    <row r="106" spans="1:66" ht="12.75">
      <c r="A106" s="935"/>
      <c r="B106" s="936"/>
      <c r="C106" s="936"/>
      <c r="D106" s="936"/>
      <c r="E106" s="936"/>
      <c r="F106" s="936"/>
      <c r="G106" s="936"/>
      <c r="H106" s="936"/>
      <c r="I106" s="936"/>
      <c r="J106" s="936"/>
      <c r="K106" s="936"/>
      <c r="L106" s="936"/>
      <c r="M106" s="937"/>
      <c r="N106" s="853"/>
      <c r="O106" s="853"/>
      <c r="P106" s="854"/>
      <c r="Q106" s="854"/>
      <c r="R106" s="854"/>
      <c r="S106" s="854"/>
      <c r="T106" s="752"/>
      <c r="U106" s="752"/>
      <c r="V106" s="752"/>
      <c r="W106" s="752"/>
      <c r="X106" s="752"/>
      <c r="Y106" s="752"/>
      <c r="AB106" s="875"/>
      <c r="AC106" s="876"/>
      <c r="AD106" s="876"/>
      <c r="AE106" s="876"/>
      <c r="AF106" s="876"/>
      <c r="AG106" s="876"/>
      <c r="AH106" s="876"/>
      <c r="AI106" s="876"/>
      <c r="AJ106" s="876"/>
      <c r="AK106" s="876"/>
      <c r="AL106" s="876"/>
      <c r="AM106" s="876"/>
      <c r="AN106" s="876"/>
      <c r="AO106" s="876"/>
      <c r="AP106" s="876"/>
      <c r="AQ106" s="876"/>
      <c r="AR106" s="876"/>
      <c r="AS106" s="876"/>
      <c r="AT106" s="877"/>
      <c r="AV106" s="3"/>
      <c r="AW106" s="855"/>
      <c r="AX106" s="428"/>
      <c r="AY106" s="428"/>
      <c r="AZ106" s="428"/>
      <c r="BA106" s="428"/>
      <c r="BB106" s="428"/>
      <c r="BC106" s="428"/>
      <c r="BD106" s="428"/>
      <c r="BE106" s="428"/>
      <c r="BF106" s="428"/>
      <c r="BG106" s="428"/>
      <c r="BH106" s="428"/>
      <c r="BI106" s="428"/>
      <c r="BJ106" s="755"/>
      <c r="BK106" s="3"/>
      <c r="BL106" s="3"/>
      <c r="BM106" s="3"/>
      <c r="BN106" s="3"/>
    </row>
    <row r="107" spans="1:66" ht="12.75">
      <c r="A107" s="935"/>
      <c r="B107" s="936"/>
      <c r="C107" s="936"/>
      <c r="D107" s="936"/>
      <c r="E107" s="936"/>
      <c r="F107" s="936"/>
      <c r="G107" s="936"/>
      <c r="H107" s="936"/>
      <c r="I107" s="936"/>
      <c r="J107" s="936"/>
      <c r="K107" s="936"/>
      <c r="L107" s="936"/>
      <c r="M107" s="937"/>
      <c r="N107" s="853"/>
      <c r="O107" s="853"/>
      <c r="P107" s="854"/>
      <c r="Q107" s="854"/>
      <c r="R107" s="854"/>
      <c r="S107" s="854"/>
      <c r="T107" s="752"/>
      <c r="U107" s="752"/>
      <c r="V107" s="752"/>
      <c r="W107" s="752"/>
      <c r="X107" s="752"/>
      <c r="Y107" s="752"/>
      <c r="AB107" s="875"/>
      <c r="AC107" s="876"/>
      <c r="AD107" s="876"/>
      <c r="AE107" s="876"/>
      <c r="AF107" s="876"/>
      <c r="AG107" s="876"/>
      <c r="AH107" s="876"/>
      <c r="AI107" s="876"/>
      <c r="AJ107" s="876"/>
      <c r="AK107" s="876"/>
      <c r="AL107" s="876"/>
      <c r="AM107" s="876"/>
      <c r="AN107" s="876"/>
      <c r="AO107" s="876"/>
      <c r="AP107" s="876"/>
      <c r="AQ107" s="876"/>
      <c r="AR107" s="876"/>
      <c r="AS107" s="876"/>
      <c r="AT107" s="877"/>
      <c r="AV107" s="3"/>
      <c r="AW107" s="855"/>
      <c r="AX107" s="428"/>
      <c r="AY107" s="428"/>
      <c r="AZ107" s="428"/>
      <c r="BA107" s="428"/>
      <c r="BB107" s="428"/>
      <c r="BC107" s="428"/>
      <c r="BD107" s="428"/>
      <c r="BE107" s="428"/>
      <c r="BF107" s="428"/>
      <c r="BG107" s="428"/>
      <c r="BH107" s="428"/>
      <c r="BI107" s="428"/>
      <c r="BJ107" s="755"/>
      <c r="BK107" s="3"/>
      <c r="BL107" s="3"/>
      <c r="BM107" s="3"/>
      <c r="BN107" s="3"/>
    </row>
    <row r="108" spans="1:66" ht="12.75">
      <c r="A108" s="935"/>
      <c r="B108" s="936"/>
      <c r="C108" s="936"/>
      <c r="D108" s="936"/>
      <c r="E108" s="936"/>
      <c r="F108" s="936"/>
      <c r="G108" s="936"/>
      <c r="H108" s="936"/>
      <c r="I108" s="936"/>
      <c r="J108" s="936"/>
      <c r="K108" s="936"/>
      <c r="L108" s="936"/>
      <c r="M108" s="937"/>
      <c r="N108" s="853"/>
      <c r="O108" s="853"/>
      <c r="P108" s="854"/>
      <c r="Q108" s="854"/>
      <c r="R108" s="854"/>
      <c r="S108" s="854"/>
      <c r="T108" s="752"/>
      <c r="U108" s="752"/>
      <c r="V108" s="752"/>
      <c r="W108" s="752"/>
      <c r="X108" s="752"/>
      <c r="Y108" s="752"/>
      <c r="AB108" s="875"/>
      <c r="AC108" s="876"/>
      <c r="AD108" s="876"/>
      <c r="AE108" s="876"/>
      <c r="AF108" s="876"/>
      <c r="AG108" s="876"/>
      <c r="AH108" s="876"/>
      <c r="AI108" s="876"/>
      <c r="AJ108" s="876"/>
      <c r="AK108" s="876"/>
      <c r="AL108" s="876"/>
      <c r="AM108" s="876"/>
      <c r="AN108" s="876"/>
      <c r="AO108" s="876"/>
      <c r="AP108" s="876"/>
      <c r="AQ108" s="876"/>
      <c r="AR108" s="876"/>
      <c r="AS108" s="876"/>
      <c r="AT108" s="877"/>
      <c r="AV108" s="3"/>
      <c r="AW108" s="855"/>
      <c r="AX108" s="428"/>
      <c r="AY108" s="428"/>
      <c r="AZ108" s="428"/>
      <c r="BA108" s="428"/>
      <c r="BB108" s="428"/>
      <c r="BC108" s="428"/>
      <c r="BD108" s="428"/>
      <c r="BE108" s="428"/>
      <c r="BF108" s="428"/>
      <c r="BG108" s="428"/>
      <c r="BH108" s="428"/>
      <c r="BI108" s="428"/>
      <c r="BJ108" s="755"/>
      <c r="BK108" s="3"/>
      <c r="BL108" s="3"/>
      <c r="BM108" s="3"/>
      <c r="BN108" s="3"/>
    </row>
    <row r="109" spans="1:66" ht="12.75">
      <c r="A109" s="935"/>
      <c r="B109" s="936"/>
      <c r="C109" s="936"/>
      <c r="D109" s="936"/>
      <c r="E109" s="936"/>
      <c r="F109" s="936"/>
      <c r="G109" s="936"/>
      <c r="H109" s="936"/>
      <c r="I109" s="936"/>
      <c r="J109" s="936"/>
      <c r="K109" s="936"/>
      <c r="L109" s="936"/>
      <c r="M109" s="937"/>
      <c r="N109" s="853"/>
      <c r="O109" s="853"/>
      <c r="P109" s="854"/>
      <c r="Q109" s="854"/>
      <c r="R109" s="854"/>
      <c r="S109" s="854"/>
      <c r="T109" s="752"/>
      <c r="U109" s="752"/>
      <c r="V109" s="752"/>
      <c r="W109" s="752"/>
      <c r="X109" s="752"/>
      <c r="Y109" s="752"/>
      <c r="AB109" s="875"/>
      <c r="AC109" s="876"/>
      <c r="AD109" s="876"/>
      <c r="AE109" s="876"/>
      <c r="AF109" s="876"/>
      <c r="AG109" s="876"/>
      <c r="AH109" s="876"/>
      <c r="AI109" s="876"/>
      <c r="AJ109" s="876"/>
      <c r="AK109" s="876"/>
      <c r="AL109" s="876"/>
      <c r="AM109" s="876"/>
      <c r="AN109" s="876"/>
      <c r="AO109" s="876"/>
      <c r="AP109" s="876"/>
      <c r="AQ109" s="876"/>
      <c r="AR109" s="876"/>
      <c r="AS109" s="876"/>
      <c r="AT109" s="877"/>
      <c r="AV109" s="3"/>
      <c r="AW109" s="855"/>
      <c r="AX109" s="428"/>
      <c r="AY109" s="428"/>
      <c r="AZ109" s="428"/>
      <c r="BA109" s="428"/>
      <c r="BB109" s="428"/>
      <c r="BC109" s="428"/>
      <c r="BD109" s="428"/>
      <c r="BE109" s="428"/>
      <c r="BF109" s="428"/>
      <c r="BG109" s="428"/>
      <c r="BH109" s="428"/>
      <c r="BI109" s="428"/>
      <c r="BJ109" s="755"/>
      <c r="BK109" s="3"/>
      <c r="BL109" s="3"/>
      <c r="BM109" s="3"/>
      <c r="BN109" s="3"/>
    </row>
    <row r="110" spans="1:66" ht="12.75">
      <c r="A110" s="935"/>
      <c r="B110" s="936"/>
      <c r="C110" s="936"/>
      <c r="D110" s="936"/>
      <c r="E110" s="936"/>
      <c r="F110" s="936"/>
      <c r="G110" s="936"/>
      <c r="H110" s="936"/>
      <c r="I110" s="936"/>
      <c r="J110" s="936"/>
      <c r="K110" s="936"/>
      <c r="L110" s="936"/>
      <c r="M110" s="937"/>
      <c r="N110" s="853"/>
      <c r="O110" s="853"/>
      <c r="P110" s="854"/>
      <c r="Q110" s="854"/>
      <c r="R110" s="854"/>
      <c r="S110" s="854"/>
      <c r="T110" s="752"/>
      <c r="U110" s="752"/>
      <c r="V110" s="752"/>
      <c r="W110" s="752"/>
      <c r="X110" s="752"/>
      <c r="Y110" s="752"/>
      <c r="AB110" s="875"/>
      <c r="AC110" s="876"/>
      <c r="AD110" s="876"/>
      <c r="AE110" s="876"/>
      <c r="AF110" s="876"/>
      <c r="AG110" s="876"/>
      <c r="AH110" s="876"/>
      <c r="AI110" s="876"/>
      <c r="AJ110" s="876"/>
      <c r="AK110" s="876"/>
      <c r="AL110" s="876"/>
      <c r="AM110" s="876"/>
      <c r="AN110" s="876"/>
      <c r="AO110" s="876"/>
      <c r="AP110" s="876"/>
      <c r="AQ110" s="876"/>
      <c r="AR110" s="876"/>
      <c r="AS110" s="876"/>
      <c r="AT110" s="877"/>
      <c r="AV110" s="3"/>
      <c r="AW110" s="855"/>
      <c r="AX110" s="428"/>
      <c r="AY110" s="428"/>
      <c r="AZ110" s="428"/>
      <c r="BA110" s="428"/>
      <c r="BB110" s="428"/>
      <c r="BC110" s="428"/>
      <c r="BD110" s="428"/>
      <c r="BE110" s="428"/>
      <c r="BF110" s="428"/>
      <c r="BG110" s="428"/>
      <c r="BH110" s="428"/>
      <c r="BI110" s="428"/>
      <c r="BJ110" s="755"/>
      <c r="BK110" s="3"/>
      <c r="BL110" s="3"/>
      <c r="BM110" s="3"/>
      <c r="BN110" s="3"/>
    </row>
    <row r="111" spans="1:66" ht="12.75">
      <c r="A111" s="935"/>
      <c r="B111" s="936"/>
      <c r="C111" s="936"/>
      <c r="D111" s="936"/>
      <c r="E111" s="936"/>
      <c r="F111" s="936"/>
      <c r="G111" s="936"/>
      <c r="H111" s="936"/>
      <c r="I111" s="936"/>
      <c r="J111" s="936"/>
      <c r="K111" s="936"/>
      <c r="L111" s="936"/>
      <c r="M111" s="937"/>
      <c r="N111" s="853"/>
      <c r="O111" s="853"/>
      <c r="P111" s="854"/>
      <c r="Q111" s="854"/>
      <c r="R111" s="854"/>
      <c r="S111" s="854"/>
      <c r="T111" s="752"/>
      <c r="U111" s="752"/>
      <c r="V111" s="752"/>
      <c r="W111" s="752"/>
      <c r="X111" s="752"/>
      <c r="Y111" s="752"/>
      <c r="AB111" s="875"/>
      <c r="AC111" s="876"/>
      <c r="AD111" s="876"/>
      <c r="AE111" s="876"/>
      <c r="AF111" s="876"/>
      <c r="AG111" s="876"/>
      <c r="AH111" s="876"/>
      <c r="AI111" s="876"/>
      <c r="AJ111" s="876"/>
      <c r="AK111" s="876"/>
      <c r="AL111" s="876"/>
      <c r="AM111" s="876"/>
      <c r="AN111" s="876"/>
      <c r="AO111" s="876"/>
      <c r="AP111" s="876"/>
      <c r="AQ111" s="876"/>
      <c r="AR111" s="876"/>
      <c r="AS111" s="876"/>
      <c r="AT111" s="877"/>
      <c r="AV111" s="3"/>
      <c r="AW111" s="855"/>
      <c r="AX111" s="428"/>
      <c r="AY111" s="428"/>
      <c r="AZ111" s="428"/>
      <c r="BA111" s="428"/>
      <c r="BB111" s="428"/>
      <c r="BC111" s="428"/>
      <c r="BD111" s="428"/>
      <c r="BE111" s="428"/>
      <c r="BF111" s="428"/>
      <c r="BG111" s="428"/>
      <c r="BH111" s="428"/>
      <c r="BI111" s="428"/>
      <c r="BJ111" s="755"/>
      <c r="BK111" s="3"/>
      <c r="BL111" s="3"/>
      <c r="BM111" s="3"/>
      <c r="BN111" s="3"/>
    </row>
    <row r="112" spans="1:66" ht="12.75">
      <c r="A112" s="935"/>
      <c r="B112" s="936"/>
      <c r="C112" s="936"/>
      <c r="D112" s="936"/>
      <c r="E112" s="936"/>
      <c r="F112" s="936"/>
      <c r="G112" s="936"/>
      <c r="H112" s="936"/>
      <c r="I112" s="936"/>
      <c r="J112" s="936"/>
      <c r="K112" s="936"/>
      <c r="L112" s="936"/>
      <c r="M112" s="937"/>
      <c r="N112" s="853"/>
      <c r="O112" s="853"/>
      <c r="P112" s="854"/>
      <c r="Q112" s="854"/>
      <c r="R112" s="854"/>
      <c r="S112" s="854"/>
      <c r="T112" s="752"/>
      <c r="U112" s="752"/>
      <c r="V112" s="752"/>
      <c r="W112" s="752"/>
      <c r="X112" s="752"/>
      <c r="Y112" s="752"/>
      <c r="AB112" s="875"/>
      <c r="AC112" s="876"/>
      <c r="AD112" s="876"/>
      <c r="AE112" s="876"/>
      <c r="AF112" s="876"/>
      <c r="AG112" s="876"/>
      <c r="AH112" s="876"/>
      <c r="AI112" s="876"/>
      <c r="AJ112" s="876"/>
      <c r="AK112" s="876"/>
      <c r="AL112" s="876"/>
      <c r="AM112" s="876"/>
      <c r="AN112" s="876"/>
      <c r="AO112" s="876"/>
      <c r="AP112" s="876"/>
      <c r="AQ112" s="876"/>
      <c r="AR112" s="876"/>
      <c r="AS112" s="876"/>
      <c r="AT112" s="877"/>
      <c r="AV112" s="3"/>
      <c r="AW112" s="855"/>
      <c r="AX112" s="428"/>
      <c r="AY112" s="428"/>
      <c r="AZ112" s="428"/>
      <c r="BA112" s="428"/>
      <c r="BB112" s="428"/>
      <c r="BC112" s="428"/>
      <c r="BD112" s="428"/>
      <c r="BE112" s="428"/>
      <c r="BF112" s="428"/>
      <c r="BG112" s="428"/>
      <c r="BH112" s="428"/>
      <c r="BI112" s="428"/>
      <c r="BJ112" s="755"/>
      <c r="BK112" s="3"/>
      <c r="BL112" s="3"/>
      <c r="BM112" s="3"/>
      <c r="BN112" s="3"/>
    </row>
    <row r="113" spans="1:66" ht="12.75">
      <c r="A113" s="935"/>
      <c r="B113" s="936"/>
      <c r="C113" s="936"/>
      <c r="D113" s="936"/>
      <c r="E113" s="936"/>
      <c r="F113" s="936"/>
      <c r="G113" s="936"/>
      <c r="H113" s="936"/>
      <c r="I113" s="936"/>
      <c r="J113" s="936"/>
      <c r="K113" s="936"/>
      <c r="L113" s="936"/>
      <c r="M113" s="937"/>
      <c r="N113" s="853"/>
      <c r="O113" s="853"/>
      <c r="P113" s="854"/>
      <c r="Q113" s="854"/>
      <c r="R113" s="854"/>
      <c r="S113" s="854"/>
      <c r="T113" s="752"/>
      <c r="U113" s="752"/>
      <c r="V113" s="752"/>
      <c r="W113" s="752"/>
      <c r="X113" s="752"/>
      <c r="Y113" s="752"/>
      <c r="AB113" s="875"/>
      <c r="AC113" s="876"/>
      <c r="AD113" s="876"/>
      <c r="AE113" s="876"/>
      <c r="AF113" s="876"/>
      <c r="AG113" s="876"/>
      <c r="AH113" s="876"/>
      <c r="AI113" s="876"/>
      <c r="AJ113" s="876"/>
      <c r="AK113" s="876"/>
      <c r="AL113" s="876"/>
      <c r="AM113" s="876"/>
      <c r="AN113" s="876"/>
      <c r="AO113" s="876"/>
      <c r="AP113" s="876"/>
      <c r="AQ113" s="876"/>
      <c r="AR113" s="876"/>
      <c r="AS113" s="876"/>
      <c r="AT113" s="877"/>
      <c r="AV113" s="3"/>
      <c r="AW113" s="855"/>
      <c r="AX113" s="428"/>
      <c r="AY113" s="428"/>
      <c r="AZ113" s="428"/>
      <c r="BA113" s="428"/>
      <c r="BB113" s="428"/>
      <c r="BC113" s="428"/>
      <c r="BD113" s="428"/>
      <c r="BE113" s="428"/>
      <c r="BF113" s="428"/>
      <c r="BG113" s="428"/>
      <c r="BH113" s="428"/>
      <c r="BI113" s="428"/>
      <c r="BJ113" s="755"/>
      <c r="BK113" s="3"/>
      <c r="BL113" s="3"/>
      <c r="BM113" s="3"/>
      <c r="BN113" s="3"/>
    </row>
    <row r="114" spans="1:66" ht="12.75">
      <c r="A114" s="935"/>
      <c r="B114" s="936"/>
      <c r="C114" s="936"/>
      <c r="D114" s="936"/>
      <c r="E114" s="936"/>
      <c r="F114" s="936"/>
      <c r="G114" s="936"/>
      <c r="H114" s="936"/>
      <c r="I114" s="936"/>
      <c r="J114" s="936"/>
      <c r="K114" s="936"/>
      <c r="L114" s="936"/>
      <c r="M114" s="937"/>
      <c r="N114" s="853"/>
      <c r="O114" s="853"/>
      <c r="P114" s="854"/>
      <c r="Q114" s="854"/>
      <c r="R114" s="854"/>
      <c r="S114" s="854"/>
      <c r="T114" s="752"/>
      <c r="U114" s="752"/>
      <c r="V114" s="752"/>
      <c r="W114" s="752"/>
      <c r="X114" s="752"/>
      <c r="Y114" s="752"/>
      <c r="AB114" s="875"/>
      <c r="AC114" s="876"/>
      <c r="AD114" s="876"/>
      <c r="AE114" s="876"/>
      <c r="AF114" s="876"/>
      <c r="AG114" s="876"/>
      <c r="AH114" s="876"/>
      <c r="AI114" s="876"/>
      <c r="AJ114" s="876"/>
      <c r="AK114" s="876"/>
      <c r="AL114" s="876"/>
      <c r="AM114" s="876"/>
      <c r="AN114" s="876"/>
      <c r="AO114" s="876"/>
      <c r="AP114" s="876"/>
      <c r="AQ114" s="876"/>
      <c r="AR114" s="876"/>
      <c r="AS114" s="876"/>
      <c r="AT114" s="877"/>
      <c r="AV114" s="3"/>
      <c r="AW114" s="855"/>
      <c r="AX114" s="428"/>
      <c r="AY114" s="428"/>
      <c r="AZ114" s="428"/>
      <c r="BA114" s="428"/>
      <c r="BB114" s="428"/>
      <c r="BC114" s="428"/>
      <c r="BD114" s="428"/>
      <c r="BE114" s="428"/>
      <c r="BF114" s="428"/>
      <c r="BG114" s="428"/>
      <c r="BH114" s="428"/>
      <c r="BI114" s="428"/>
      <c r="BJ114" s="755"/>
      <c r="BK114" s="3"/>
      <c r="BL114" s="3"/>
      <c r="BM114" s="3"/>
      <c r="BN114" s="3"/>
    </row>
    <row r="115" spans="1:66" ht="12.75">
      <c r="A115" s="935"/>
      <c r="B115" s="936"/>
      <c r="C115" s="936"/>
      <c r="D115" s="936"/>
      <c r="E115" s="936"/>
      <c r="F115" s="936"/>
      <c r="G115" s="936"/>
      <c r="H115" s="936"/>
      <c r="I115" s="936"/>
      <c r="J115" s="936"/>
      <c r="K115" s="936"/>
      <c r="L115" s="936"/>
      <c r="M115" s="937"/>
      <c r="N115" s="853"/>
      <c r="O115" s="853"/>
      <c r="P115" s="854"/>
      <c r="Q115" s="854"/>
      <c r="R115" s="854"/>
      <c r="S115" s="854"/>
      <c r="T115" s="752"/>
      <c r="U115" s="752"/>
      <c r="V115" s="752"/>
      <c r="W115" s="752"/>
      <c r="X115" s="752"/>
      <c r="Y115" s="752"/>
      <c r="AB115" s="875"/>
      <c r="AC115" s="876"/>
      <c r="AD115" s="876"/>
      <c r="AE115" s="876"/>
      <c r="AF115" s="876"/>
      <c r="AG115" s="876"/>
      <c r="AH115" s="876"/>
      <c r="AI115" s="876"/>
      <c r="AJ115" s="876"/>
      <c r="AK115" s="876"/>
      <c r="AL115" s="876"/>
      <c r="AM115" s="876"/>
      <c r="AN115" s="876"/>
      <c r="AO115" s="876"/>
      <c r="AP115" s="876"/>
      <c r="AQ115" s="876"/>
      <c r="AR115" s="876"/>
      <c r="AS115" s="876"/>
      <c r="AT115" s="877"/>
      <c r="AV115" s="3"/>
      <c r="AW115" s="855"/>
      <c r="AX115" s="428"/>
      <c r="AY115" s="428"/>
      <c r="AZ115" s="428"/>
      <c r="BA115" s="428"/>
      <c r="BB115" s="428"/>
      <c r="BC115" s="428"/>
      <c r="BD115" s="428"/>
      <c r="BE115" s="428"/>
      <c r="BF115" s="428"/>
      <c r="BG115" s="428"/>
      <c r="BH115" s="428"/>
      <c r="BI115" s="428"/>
      <c r="BJ115" s="755"/>
      <c r="BK115" s="3"/>
      <c r="BL115" s="3"/>
      <c r="BM115" s="3"/>
      <c r="BN115" s="3"/>
    </row>
    <row r="116" spans="1:66" ht="12.75">
      <c r="A116" s="935"/>
      <c r="B116" s="936"/>
      <c r="C116" s="936"/>
      <c r="D116" s="936"/>
      <c r="E116" s="936"/>
      <c r="F116" s="936"/>
      <c r="G116" s="936"/>
      <c r="H116" s="936"/>
      <c r="I116" s="936"/>
      <c r="J116" s="936"/>
      <c r="K116" s="936"/>
      <c r="L116" s="936"/>
      <c r="M116" s="937"/>
      <c r="N116" s="853"/>
      <c r="O116" s="853"/>
      <c r="P116" s="854"/>
      <c r="Q116" s="854"/>
      <c r="R116" s="854"/>
      <c r="S116" s="854"/>
      <c r="T116" s="752"/>
      <c r="U116" s="752"/>
      <c r="V116" s="752"/>
      <c r="W116" s="752"/>
      <c r="X116" s="752"/>
      <c r="Y116" s="752"/>
      <c r="AB116" s="875"/>
      <c r="AC116" s="876"/>
      <c r="AD116" s="876"/>
      <c r="AE116" s="876"/>
      <c r="AF116" s="876"/>
      <c r="AG116" s="876"/>
      <c r="AH116" s="876"/>
      <c r="AI116" s="876"/>
      <c r="AJ116" s="876"/>
      <c r="AK116" s="876"/>
      <c r="AL116" s="876"/>
      <c r="AM116" s="876"/>
      <c r="AN116" s="876"/>
      <c r="AO116" s="876"/>
      <c r="AP116" s="876"/>
      <c r="AQ116" s="876"/>
      <c r="AR116" s="876"/>
      <c r="AS116" s="876"/>
      <c r="AT116" s="877"/>
      <c r="AV116" s="3"/>
      <c r="AW116" s="855"/>
      <c r="AX116" s="428"/>
      <c r="AY116" s="428"/>
      <c r="AZ116" s="428"/>
      <c r="BA116" s="428"/>
      <c r="BB116" s="428"/>
      <c r="BC116" s="428"/>
      <c r="BD116" s="428"/>
      <c r="BE116" s="428"/>
      <c r="BF116" s="428"/>
      <c r="BG116" s="428"/>
      <c r="BH116" s="428"/>
      <c r="BI116" s="428"/>
      <c r="BJ116" s="755"/>
      <c r="BK116" s="3"/>
      <c r="BL116" s="3"/>
      <c r="BM116" s="3"/>
      <c r="BN116" s="3"/>
    </row>
    <row r="117" spans="1:66" ht="12.75">
      <c r="A117" s="935"/>
      <c r="B117" s="936"/>
      <c r="C117" s="936"/>
      <c r="D117" s="936"/>
      <c r="E117" s="936"/>
      <c r="F117" s="936"/>
      <c r="G117" s="936"/>
      <c r="H117" s="936"/>
      <c r="I117" s="936"/>
      <c r="J117" s="936"/>
      <c r="K117" s="936"/>
      <c r="L117" s="936"/>
      <c r="M117" s="937"/>
      <c r="N117" s="853"/>
      <c r="O117" s="853"/>
      <c r="P117" s="854"/>
      <c r="Q117" s="854"/>
      <c r="R117" s="854"/>
      <c r="S117" s="854"/>
      <c r="T117" s="752"/>
      <c r="U117" s="752"/>
      <c r="V117" s="752"/>
      <c r="W117" s="752"/>
      <c r="X117" s="752"/>
      <c r="Y117" s="752"/>
      <c r="AB117" s="875"/>
      <c r="AC117" s="876"/>
      <c r="AD117" s="876"/>
      <c r="AE117" s="876"/>
      <c r="AF117" s="876"/>
      <c r="AG117" s="876"/>
      <c r="AH117" s="876"/>
      <c r="AI117" s="876"/>
      <c r="AJ117" s="876"/>
      <c r="AK117" s="876"/>
      <c r="AL117" s="876"/>
      <c r="AM117" s="876"/>
      <c r="AN117" s="876"/>
      <c r="AO117" s="876"/>
      <c r="AP117" s="876"/>
      <c r="AQ117" s="876"/>
      <c r="AR117" s="876"/>
      <c r="AS117" s="876"/>
      <c r="AT117" s="877"/>
      <c r="AV117" s="3"/>
      <c r="AW117" s="855"/>
      <c r="AX117" s="428"/>
      <c r="AY117" s="428"/>
      <c r="AZ117" s="428"/>
      <c r="BA117" s="428"/>
      <c r="BB117" s="428"/>
      <c r="BC117" s="428"/>
      <c r="BD117" s="428"/>
      <c r="BE117" s="428"/>
      <c r="BF117" s="428"/>
      <c r="BG117" s="428"/>
      <c r="BH117" s="428"/>
      <c r="BI117" s="428"/>
      <c r="BJ117" s="755"/>
      <c r="BK117" s="3"/>
      <c r="BL117" s="3"/>
      <c r="BM117" s="3"/>
      <c r="BN117" s="3"/>
    </row>
    <row r="118" spans="1:66" ht="13.5" thickBot="1">
      <c r="A118" s="938"/>
      <c r="B118" s="939"/>
      <c r="C118" s="939"/>
      <c r="D118" s="939"/>
      <c r="E118" s="939"/>
      <c r="F118" s="939"/>
      <c r="G118" s="939"/>
      <c r="H118" s="939"/>
      <c r="I118" s="939"/>
      <c r="J118" s="939"/>
      <c r="K118" s="939"/>
      <c r="L118" s="939"/>
      <c r="M118" s="940"/>
      <c r="N118" s="853"/>
      <c r="O118" s="853"/>
      <c r="P118" s="854"/>
      <c r="Q118" s="854"/>
      <c r="R118" s="854"/>
      <c r="S118" s="854"/>
      <c r="T118" s="752"/>
      <c r="U118" s="752"/>
      <c r="V118" s="752"/>
      <c r="W118" s="752"/>
      <c r="X118" s="752"/>
      <c r="Y118" s="752"/>
      <c r="AB118" s="875"/>
      <c r="AC118" s="876"/>
      <c r="AD118" s="876"/>
      <c r="AE118" s="876"/>
      <c r="AF118" s="876"/>
      <c r="AG118" s="876"/>
      <c r="AH118" s="876"/>
      <c r="AI118" s="876"/>
      <c r="AJ118" s="876"/>
      <c r="AK118" s="876"/>
      <c r="AL118" s="876"/>
      <c r="AM118" s="876"/>
      <c r="AN118" s="876"/>
      <c r="AO118" s="876"/>
      <c r="AP118" s="876"/>
      <c r="AQ118" s="876"/>
      <c r="AR118" s="876"/>
      <c r="AS118" s="876"/>
      <c r="AT118" s="877"/>
      <c r="AV118" s="3"/>
      <c r="AW118" s="855"/>
      <c r="AX118" s="428"/>
      <c r="AY118" s="428"/>
      <c r="AZ118" s="428"/>
      <c r="BA118" s="428"/>
      <c r="BB118" s="428"/>
      <c r="BC118" s="428"/>
      <c r="BD118" s="428"/>
      <c r="BE118" s="428"/>
      <c r="BF118" s="428"/>
      <c r="BG118" s="428"/>
      <c r="BH118" s="428"/>
      <c r="BI118" s="428"/>
      <c r="BJ118" s="755"/>
      <c r="BK118" s="3"/>
      <c r="BL118" s="3"/>
      <c r="BM118" s="3"/>
      <c r="BN118" s="3"/>
    </row>
    <row r="119" spans="1:66" ht="12.75">
      <c r="A119" s="856"/>
      <c r="B119" s="853"/>
      <c r="C119" s="853"/>
      <c r="D119" s="853"/>
      <c r="E119" s="853"/>
      <c r="F119" s="853"/>
      <c r="G119" s="853"/>
      <c r="H119" s="853"/>
      <c r="I119" s="853"/>
      <c r="J119" s="853"/>
      <c r="K119" s="853"/>
      <c r="L119" s="853"/>
      <c r="M119" s="853"/>
      <c r="N119" s="853"/>
      <c r="O119" s="853"/>
      <c r="P119" s="854"/>
      <c r="Q119" s="854"/>
      <c r="R119" s="854"/>
      <c r="S119" s="854"/>
      <c r="T119" s="752"/>
      <c r="U119" s="752"/>
      <c r="V119" s="752"/>
      <c r="W119" s="752"/>
      <c r="X119" s="752"/>
      <c r="Y119" s="752"/>
      <c r="AB119" s="875"/>
      <c r="AC119" s="876"/>
      <c r="AD119" s="876"/>
      <c r="AE119" s="876"/>
      <c r="AF119" s="876"/>
      <c r="AG119" s="876"/>
      <c r="AH119" s="876"/>
      <c r="AI119" s="876"/>
      <c r="AJ119" s="876"/>
      <c r="AK119" s="876"/>
      <c r="AL119" s="876"/>
      <c r="AM119" s="876"/>
      <c r="AN119" s="876"/>
      <c r="AO119" s="876"/>
      <c r="AP119" s="876"/>
      <c r="AQ119" s="876"/>
      <c r="AR119" s="876"/>
      <c r="AS119" s="876"/>
      <c r="AT119" s="877"/>
      <c r="AV119" s="3"/>
      <c r="AW119" s="855"/>
      <c r="AX119" s="428"/>
      <c r="AY119" s="428"/>
      <c r="AZ119" s="428"/>
      <c r="BA119" s="428"/>
      <c r="BB119" s="428"/>
      <c r="BC119" s="428"/>
      <c r="BD119" s="428"/>
      <c r="BE119" s="428"/>
      <c r="BF119" s="428"/>
      <c r="BG119" s="428"/>
      <c r="BH119" s="428"/>
      <c r="BI119" s="428"/>
      <c r="BJ119" s="755"/>
      <c r="BK119" s="3"/>
      <c r="BL119" s="3"/>
      <c r="BM119" s="3"/>
      <c r="BN119" s="3"/>
    </row>
    <row r="120" spans="1:66" ht="12.75">
      <c r="A120" s="856"/>
      <c r="B120" s="853"/>
      <c r="C120" s="853"/>
      <c r="D120" s="853"/>
      <c r="E120" s="853"/>
      <c r="F120" s="853"/>
      <c r="G120" s="853"/>
      <c r="H120" s="853"/>
      <c r="I120" s="853"/>
      <c r="J120" s="853"/>
      <c r="K120" s="853"/>
      <c r="L120" s="853"/>
      <c r="M120" s="853"/>
      <c r="N120" s="853"/>
      <c r="O120" s="853"/>
      <c r="P120" s="854"/>
      <c r="Q120" s="854"/>
      <c r="R120" s="854"/>
      <c r="S120" s="854"/>
      <c r="T120" s="752"/>
      <c r="U120" s="752"/>
      <c r="V120" s="752"/>
      <c r="W120" s="752"/>
      <c r="X120" s="752"/>
      <c r="Y120" s="752"/>
      <c r="AB120" s="875"/>
      <c r="AC120" s="876"/>
      <c r="AD120" s="876"/>
      <c r="AE120" s="876"/>
      <c r="AF120" s="876"/>
      <c r="AG120" s="876"/>
      <c r="AH120" s="876"/>
      <c r="AI120" s="876"/>
      <c r="AJ120" s="876"/>
      <c r="AK120" s="876"/>
      <c r="AL120" s="876"/>
      <c r="AM120" s="876"/>
      <c r="AN120" s="876"/>
      <c r="AO120" s="876"/>
      <c r="AP120" s="876"/>
      <c r="AQ120" s="876"/>
      <c r="AR120" s="876"/>
      <c r="AS120" s="876"/>
      <c r="AT120" s="877"/>
      <c r="AV120" s="3"/>
      <c r="AW120" s="855"/>
      <c r="AX120" s="428"/>
      <c r="AY120" s="428"/>
      <c r="AZ120" s="428"/>
      <c r="BA120" s="428"/>
      <c r="BB120" s="428"/>
      <c r="BC120" s="428"/>
      <c r="BD120" s="428"/>
      <c r="BE120" s="428"/>
      <c r="BF120" s="428"/>
      <c r="BG120" s="428"/>
      <c r="BH120" s="428"/>
      <c r="BI120" s="428"/>
      <c r="BJ120" s="755"/>
      <c r="BK120" s="3"/>
      <c r="BL120" s="3"/>
      <c r="BM120" s="3"/>
      <c r="BN120" s="3"/>
    </row>
    <row r="121" spans="1:66" ht="12.75">
      <c r="A121" s="856"/>
      <c r="B121" s="853"/>
      <c r="C121" s="853"/>
      <c r="D121" s="853"/>
      <c r="E121" s="853"/>
      <c r="F121" s="853"/>
      <c r="G121" s="853"/>
      <c r="H121" s="853"/>
      <c r="I121" s="853"/>
      <c r="J121" s="853"/>
      <c r="K121" s="853"/>
      <c r="L121" s="853"/>
      <c r="M121" s="853"/>
      <c r="N121" s="853"/>
      <c r="O121" s="853"/>
      <c r="P121" s="854"/>
      <c r="Q121" s="854"/>
      <c r="R121" s="854"/>
      <c r="S121" s="854"/>
      <c r="T121" s="752"/>
      <c r="U121" s="752"/>
      <c r="V121" s="752"/>
      <c r="W121" s="752"/>
      <c r="X121" s="752"/>
      <c r="Y121" s="752"/>
      <c r="AB121" s="875"/>
      <c r="AC121" s="876"/>
      <c r="AD121" s="876"/>
      <c r="AE121" s="876"/>
      <c r="AF121" s="876"/>
      <c r="AG121" s="876"/>
      <c r="AH121" s="876"/>
      <c r="AI121" s="876"/>
      <c r="AJ121" s="876"/>
      <c r="AK121" s="876"/>
      <c r="AL121" s="876"/>
      <c r="AM121" s="876"/>
      <c r="AN121" s="876"/>
      <c r="AO121" s="876"/>
      <c r="AP121" s="876"/>
      <c r="AQ121" s="876"/>
      <c r="AR121" s="876"/>
      <c r="AS121" s="876"/>
      <c r="AT121" s="877"/>
      <c r="AV121" s="3"/>
      <c r="AW121" s="855"/>
      <c r="AX121" s="428"/>
      <c r="AY121" s="428"/>
      <c r="AZ121" s="428"/>
      <c r="BA121" s="428"/>
      <c r="BB121" s="428"/>
      <c r="BC121" s="428"/>
      <c r="BD121" s="428"/>
      <c r="BE121" s="428"/>
      <c r="BF121" s="428"/>
      <c r="BG121" s="428"/>
      <c r="BH121" s="428"/>
      <c r="BI121" s="428"/>
      <c r="BJ121" s="755"/>
      <c r="BK121" s="3"/>
      <c r="BL121" s="3"/>
      <c r="BM121" s="3"/>
      <c r="BN121" s="3"/>
    </row>
    <row r="122" spans="1:66" ht="12.75">
      <c r="A122" s="856"/>
      <c r="B122" s="853"/>
      <c r="C122" s="853"/>
      <c r="D122" s="853"/>
      <c r="E122" s="853"/>
      <c r="F122" s="853"/>
      <c r="G122" s="853"/>
      <c r="H122" s="853"/>
      <c r="I122" s="853"/>
      <c r="J122" s="853"/>
      <c r="K122" s="853"/>
      <c r="L122" s="853"/>
      <c r="M122" s="853"/>
      <c r="N122" s="853"/>
      <c r="O122" s="853"/>
      <c r="P122" s="854"/>
      <c r="Q122" s="854"/>
      <c r="R122" s="854"/>
      <c r="S122" s="854"/>
      <c r="T122" s="752"/>
      <c r="U122" s="752"/>
      <c r="V122" s="752"/>
      <c r="W122" s="752"/>
      <c r="X122" s="752"/>
      <c r="Y122" s="752"/>
      <c r="AB122" s="875"/>
      <c r="AC122" s="876"/>
      <c r="AD122" s="876"/>
      <c r="AE122" s="876"/>
      <c r="AF122" s="876"/>
      <c r="AG122" s="876"/>
      <c r="AH122" s="876"/>
      <c r="AI122" s="876"/>
      <c r="AJ122" s="876"/>
      <c r="AK122" s="876"/>
      <c r="AL122" s="876"/>
      <c r="AM122" s="876"/>
      <c r="AN122" s="876"/>
      <c r="AO122" s="876"/>
      <c r="AP122" s="876"/>
      <c r="AQ122" s="876"/>
      <c r="AR122" s="876"/>
      <c r="AS122" s="876"/>
      <c r="AT122" s="877"/>
      <c r="AV122" s="3"/>
      <c r="AW122" s="855"/>
      <c r="AX122" s="428"/>
      <c r="AY122" s="428"/>
      <c r="AZ122" s="428"/>
      <c r="BA122" s="428"/>
      <c r="BB122" s="428"/>
      <c r="BC122" s="428"/>
      <c r="BD122" s="428"/>
      <c r="BE122" s="428"/>
      <c r="BF122" s="428"/>
      <c r="BG122" s="428"/>
      <c r="BH122" s="428"/>
      <c r="BI122" s="428"/>
      <c r="BJ122" s="755"/>
      <c r="BK122" s="3"/>
      <c r="BL122" s="3"/>
      <c r="BM122" s="3"/>
      <c r="BN122" s="3"/>
    </row>
    <row r="123" spans="1:66" ht="12.75">
      <c r="A123" s="854"/>
      <c r="B123" s="854"/>
      <c r="C123" s="854"/>
      <c r="D123" s="854"/>
      <c r="E123" s="854"/>
      <c r="F123" s="854"/>
      <c r="G123" s="854"/>
      <c r="H123" s="854"/>
      <c r="I123" s="854"/>
      <c r="J123" s="854"/>
      <c r="K123" s="854"/>
      <c r="L123" s="854"/>
      <c r="M123" s="854"/>
      <c r="N123" s="854"/>
      <c r="O123" s="854"/>
      <c r="P123" s="854"/>
      <c r="Q123" s="854"/>
      <c r="R123" s="854"/>
      <c r="S123" s="854"/>
      <c r="T123" s="752"/>
      <c r="U123" s="752"/>
      <c r="V123" s="752"/>
      <c r="W123" s="752"/>
      <c r="X123" s="752"/>
      <c r="Y123" s="752"/>
      <c r="AB123" s="875"/>
      <c r="AC123" s="876"/>
      <c r="AD123" s="876"/>
      <c r="AE123" s="876"/>
      <c r="AF123" s="876"/>
      <c r="AG123" s="876"/>
      <c r="AH123" s="876"/>
      <c r="AI123" s="876"/>
      <c r="AJ123" s="876"/>
      <c r="AK123" s="876"/>
      <c r="AL123" s="876"/>
      <c r="AM123" s="876"/>
      <c r="AN123" s="876"/>
      <c r="AO123" s="876"/>
      <c r="AP123" s="876"/>
      <c r="AQ123" s="876"/>
      <c r="AR123" s="876"/>
      <c r="AS123" s="876"/>
      <c r="AT123" s="877"/>
      <c r="AV123" s="3"/>
      <c r="AW123" s="855"/>
      <c r="AX123" s="428"/>
      <c r="AY123" s="428"/>
      <c r="AZ123" s="428"/>
      <c r="BA123" s="428"/>
      <c r="BB123" s="428"/>
      <c r="BC123" s="428"/>
      <c r="BD123" s="428"/>
      <c r="BE123" s="428"/>
      <c r="BF123" s="428"/>
      <c r="BG123" s="428"/>
      <c r="BH123" s="428"/>
      <c r="BI123" s="428"/>
      <c r="BJ123" s="755"/>
      <c r="BK123" s="3"/>
      <c r="BL123" s="3"/>
      <c r="BM123" s="3"/>
      <c r="BN123" s="3"/>
    </row>
    <row r="124" spans="1:66" ht="12.75">
      <c r="A124" s="854"/>
      <c r="B124" s="854"/>
      <c r="C124" s="854"/>
      <c r="D124" s="854"/>
      <c r="E124" s="854"/>
      <c r="F124" s="854"/>
      <c r="G124" s="854"/>
      <c r="H124" s="854"/>
      <c r="I124" s="854"/>
      <c r="J124" s="854"/>
      <c r="K124" s="854"/>
      <c r="L124" s="854"/>
      <c r="M124" s="854"/>
      <c r="N124" s="854"/>
      <c r="O124" s="854"/>
      <c r="P124" s="854"/>
      <c r="Q124" s="854"/>
      <c r="R124" s="854"/>
      <c r="S124" s="854"/>
      <c r="T124" s="752"/>
      <c r="U124" s="752"/>
      <c r="V124" s="752"/>
      <c r="W124" s="752"/>
      <c r="X124" s="752"/>
      <c r="Y124" s="752"/>
      <c r="AB124" s="875"/>
      <c r="AC124" s="876"/>
      <c r="AD124" s="876"/>
      <c r="AE124" s="876"/>
      <c r="AF124" s="876"/>
      <c r="AG124" s="876"/>
      <c r="AH124" s="876"/>
      <c r="AI124" s="876"/>
      <c r="AJ124" s="876"/>
      <c r="AK124" s="876"/>
      <c r="AL124" s="876"/>
      <c r="AM124" s="876"/>
      <c r="AN124" s="876"/>
      <c r="AO124" s="876"/>
      <c r="AP124" s="876"/>
      <c r="AQ124" s="876"/>
      <c r="AR124" s="876"/>
      <c r="AS124" s="876"/>
      <c r="AT124" s="877"/>
      <c r="AV124" s="3"/>
      <c r="AW124" s="855"/>
      <c r="AX124" s="428"/>
      <c r="AY124" s="428"/>
      <c r="AZ124" s="428"/>
      <c r="BA124" s="428"/>
      <c r="BB124" s="428"/>
      <c r="BC124" s="428"/>
      <c r="BD124" s="428"/>
      <c r="BE124" s="428"/>
      <c r="BF124" s="428"/>
      <c r="BG124" s="428"/>
      <c r="BH124" s="428"/>
      <c r="BI124" s="428"/>
      <c r="BJ124" s="755"/>
      <c r="BK124" s="3"/>
      <c r="BL124" s="3"/>
      <c r="BM124" s="3"/>
      <c r="BN124" s="3"/>
    </row>
    <row r="125" spans="1:66" ht="12.75">
      <c r="A125" s="854"/>
      <c r="B125" s="854"/>
      <c r="C125" s="854"/>
      <c r="D125" s="854"/>
      <c r="E125" s="854"/>
      <c r="F125" s="854"/>
      <c r="G125" s="854"/>
      <c r="H125" s="854"/>
      <c r="I125" s="854"/>
      <c r="J125" s="854"/>
      <c r="K125" s="854"/>
      <c r="L125" s="854"/>
      <c r="M125" s="854"/>
      <c r="N125" s="854"/>
      <c r="O125" s="854"/>
      <c r="P125" s="854"/>
      <c r="Q125" s="854"/>
      <c r="R125" s="854"/>
      <c r="S125" s="854"/>
      <c r="T125" s="752"/>
      <c r="U125" s="752"/>
      <c r="V125" s="752"/>
      <c r="W125" s="752"/>
      <c r="X125" s="752"/>
      <c r="Y125" s="752"/>
      <c r="AB125" s="875"/>
      <c r="AC125" s="876"/>
      <c r="AD125" s="876"/>
      <c r="AE125" s="876"/>
      <c r="AF125" s="876"/>
      <c r="AG125" s="876"/>
      <c r="AH125" s="876"/>
      <c r="AI125" s="876"/>
      <c r="AJ125" s="876"/>
      <c r="AK125" s="876"/>
      <c r="AL125" s="876"/>
      <c r="AM125" s="876"/>
      <c r="AN125" s="876"/>
      <c r="AO125" s="876"/>
      <c r="AP125" s="876"/>
      <c r="AQ125" s="876"/>
      <c r="AR125" s="876"/>
      <c r="AS125" s="876"/>
      <c r="AT125" s="877"/>
      <c r="AV125" s="3"/>
      <c r="AW125" s="855"/>
      <c r="AX125" s="428"/>
      <c r="AY125" s="428"/>
      <c r="AZ125" s="428"/>
      <c r="BA125" s="428"/>
      <c r="BB125" s="428"/>
      <c r="BC125" s="428"/>
      <c r="BD125" s="428"/>
      <c r="BE125" s="428"/>
      <c r="BF125" s="428"/>
      <c r="BG125" s="428"/>
      <c r="BH125" s="428"/>
      <c r="BI125" s="428"/>
      <c r="BJ125" s="755"/>
      <c r="BK125" s="3"/>
      <c r="BL125" s="3"/>
      <c r="BM125" s="3"/>
      <c r="BN125" s="3"/>
    </row>
    <row r="126" spans="1:66" ht="12.75">
      <c r="A126" s="854"/>
      <c r="B126" s="854"/>
      <c r="C126" s="854"/>
      <c r="D126" s="854"/>
      <c r="E126" s="854"/>
      <c r="F126" s="854"/>
      <c r="G126" s="854"/>
      <c r="H126" s="854"/>
      <c r="I126" s="854"/>
      <c r="J126" s="854"/>
      <c r="K126" s="854"/>
      <c r="L126" s="854"/>
      <c r="M126" s="854"/>
      <c r="N126" s="854"/>
      <c r="O126" s="854"/>
      <c r="P126" s="854"/>
      <c r="Q126" s="854"/>
      <c r="R126" s="854"/>
      <c r="S126" s="854"/>
      <c r="T126" s="752"/>
      <c r="U126" s="752"/>
      <c r="V126" s="752"/>
      <c r="W126" s="752"/>
      <c r="X126" s="752"/>
      <c r="Y126" s="752"/>
      <c r="AB126" s="875"/>
      <c r="AC126" s="876"/>
      <c r="AD126" s="876"/>
      <c r="AE126" s="876"/>
      <c r="AF126" s="876"/>
      <c r="AG126" s="876"/>
      <c r="AH126" s="876"/>
      <c r="AI126" s="876"/>
      <c r="AJ126" s="876"/>
      <c r="AK126" s="876"/>
      <c r="AL126" s="876"/>
      <c r="AM126" s="876"/>
      <c r="AN126" s="876"/>
      <c r="AO126" s="876"/>
      <c r="AP126" s="876"/>
      <c r="AQ126" s="876"/>
      <c r="AR126" s="876"/>
      <c r="AS126" s="876"/>
      <c r="AT126" s="877"/>
      <c r="AV126" s="3"/>
      <c r="AW126" s="855"/>
      <c r="AX126" s="428"/>
      <c r="AY126" s="428"/>
      <c r="AZ126" s="428"/>
      <c r="BA126" s="428"/>
      <c r="BB126" s="428"/>
      <c r="BC126" s="428"/>
      <c r="BD126" s="428"/>
      <c r="BE126" s="428"/>
      <c r="BF126" s="428"/>
      <c r="BG126" s="428"/>
      <c r="BH126" s="428"/>
      <c r="BI126" s="428"/>
      <c r="BJ126" s="755"/>
      <c r="BK126" s="3"/>
      <c r="BL126" s="3"/>
      <c r="BM126" s="3"/>
      <c r="BN126" s="3"/>
    </row>
    <row r="127" spans="1:66" ht="12.75">
      <c r="A127" s="854"/>
      <c r="B127" s="854"/>
      <c r="C127" s="854"/>
      <c r="D127" s="854"/>
      <c r="E127" s="854"/>
      <c r="F127" s="854"/>
      <c r="G127" s="854"/>
      <c r="H127" s="854"/>
      <c r="I127" s="854"/>
      <c r="J127" s="854"/>
      <c r="K127" s="854"/>
      <c r="L127" s="854"/>
      <c r="M127" s="854"/>
      <c r="N127" s="854"/>
      <c r="O127" s="854"/>
      <c r="P127" s="854"/>
      <c r="Q127" s="854"/>
      <c r="R127" s="854"/>
      <c r="S127" s="854"/>
      <c r="T127" s="752"/>
      <c r="U127" s="752"/>
      <c r="V127" s="752"/>
      <c r="W127" s="752"/>
      <c r="X127" s="752"/>
      <c r="Y127" s="752"/>
      <c r="AB127" s="875"/>
      <c r="AC127" s="876"/>
      <c r="AD127" s="876"/>
      <c r="AE127" s="876"/>
      <c r="AF127" s="876"/>
      <c r="AG127" s="876"/>
      <c r="AH127" s="876"/>
      <c r="AI127" s="876"/>
      <c r="AJ127" s="876"/>
      <c r="AK127" s="876"/>
      <c r="AL127" s="876"/>
      <c r="AM127" s="876"/>
      <c r="AN127" s="876"/>
      <c r="AO127" s="876"/>
      <c r="AP127" s="876"/>
      <c r="AQ127" s="876"/>
      <c r="AR127" s="876"/>
      <c r="AS127" s="876"/>
      <c r="AT127" s="877"/>
      <c r="AV127" s="3"/>
      <c r="AW127" s="855"/>
      <c r="AX127" s="428"/>
      <c r="AY127" s="428"/>
      <c r="AZ127" s="428"/>
      <c r="BA127" s="428"/>
      <c r="BB127" s="428"/>
      <c r="BC127" s="428"/>
      <c r="BD127" s="428"/>
      <c r="BE127" s="428"/>
      <c r="BF127" s="428"/>
      <c r="BG127" s="428"/>
      <c r="BH127" s="428"/>
      <c r="BI127" s="428"/>
      <c r="BJ127" s="755"/>
      <c r="BK127" s="3"/>
      <c r="BL127" s="3"/>
      <c r="BM127" s="3"/>
      <c r="BN127" s="3"/>
    </row>
    <row r="128" spans="1:66" ht="12.75">
      <c r="A128" s="854"/>
      <c r="B128" s="854"/>
      <c r="C128" s="854"/>
      <c r="D128" s="854"/>
      <c r="E128" s="854"/>
      <c r="F128" s="854"/>
      <c r="G128" s="854"/>
      <c r="H128" s="854"/>
      <c r="I128" s="854"/>
      <c r="J128" s="854"/>
      <c r="K128" s="854"/>
      <c r="L128" s="854"/>
      <c r="M128" s="854"/>
      <c r="N128" s="854"/>
      <c r="O128" s="854"/>
      <c r="P128" s="854"/>
      <c r="Q128" s="854"/>
      <c r="R128" s="854"/>
      <c r="S128" s="854"/>
      <c r="T128" s="752"/>
      <c r="U128" s="752"/>
      <c r="V128" s="752"/>
      <c r="W128" s="752"/>
      <c r="X128" s="752"/>
      <c r="Y128" s="752"/>
      <c r="AB128" s="875"/>
      <c r="AC128" s="876"/>
      <c r="AD128" s="876"/>
      <c r="AE128" s="876"/>
      <c r="AF128" s="876"/>
      <c r="AG128" s="876"/>
      <c r="AH128" s="876"/>
      <c r="AI128" s="876"/>
      <c r="AJ128" s="876"/>
      <c r="AK128" s="876"/>
      <c r="AL128" s="876"/>
      <c r="AM128" s="876"/>
      <c r="AN128" s="876"/>
      <c r="AO128" s="876"/>
      <c r="AP128" s="876"/>
      <c r="AQ128" s="876"/>
      <c r="AR128" s="876"/>
      <c r="AS128" s="876"/>
      <c r="AT128" s="877"/>
      <c r="AV128" s="3"/>
      <c r="AW128" s="855"/>
      <c r="AX128" s="428"/>
      <c r="AY128" s="428"/>
      <c r="AZ128" s="428"/>
      <c r="BA128" s="428"/>
      <c r="BB128" s="428"/>
      <c r="BC128" s="428"/>
      <c r="BD128" s="428"/>
      <c r="BE128" s="428"/>
      <c r="BF128" s="428"/>
      <c r="BG128" s="428"/>
      <c r="BH128" s="428"/>
      <c r="BI128" s="428"/>
      <c r="BJ128" s="755"/>
      <c r="BK128" s="3"/>
      <c r="BL128" s="3"/>
      <c r="BM128" s="3"/>
      <c r="BN128" s="3"/>
    </row>
    <row r="129" spans="1:66" ht="13.5" thickBot="1">
      <c r="A129" s="854"/>
      <c r="B129" s="854"/>
      <c r="C129" s="854"/>
      <c r="D129" s="854"/>
      <c r="E129" s="854"/>
      <c r="F129" s="854"/>
      <c r="G129" s="854"/>
      <c r="H129" s="854"/>
      <c r="I129" s="854"/>
      <c r="J129" s="854"/>
      <c r="K129" s="854"/>
      <c r="L129" s="854"/>
      <c r="M129" s="854"/>
      <c r="N129" s="854"/>
      <c r="O129" s="854"/>
      <c r="P129" s="854"/>
      <c r="Q129" s="854"/>
      <c r="R129" s="854"/>
      <c r="S129" s="854"/>
      <c r="T129" s="752"/>
      <c r="U129" s="752"/>
      <c r="V129" s="752"/>
      <c r="W129" s="752"/>
      <c r="X129" s="752"/>
      <c r="Y129" s="752"/>
      <c r="AB129" s="776"/>
      <c r="AC129" s="777"/>
      <c r="AD129" s="777"/>
      <c r="AE129" s="777"/>
      <c r="AF129" s="777"/>
      <c r="AG129" s="777"/>
      <c r="AH129" s="777"/>
      <c r="AI129" s="777"/>
      <c r="AJ129" s="777"/>
      <c r="AK129" s="777"/>
      <c r="AL129" s="777"/>
      <c r="AM129" s="777"/>
      <c r="AN129" s="777"/>
      <c r="AO129" s="777"/>
      <c r="AP129" s="777"/>
      <c r="AQ129" s="777"/>
      <c r="AR129" s="777"/>
      <c r="AS129" s="777"/>
      <c r="AT129" s="754"/>
      <c r="AV129" s="3"/>
      <c r="AW129" s="857"/>
      <c r="AX129" s="858"/>
      <c r="AY129" s="858"/>
      <c r="AZ129" s="858"/>
      <c r="BA129" s="858"/>
      <c r="BB129" s="858"/>
      <c r="BC129" s="858"/>
      <c r="BD129" s="858"/>
      <c r="BE129" s="858"/>
      <c r="BF129" s="858"/>
      <c r="BG129" s="858"/>
      <c r="BH129" s="858"/>
      <c r="BI129" s="858"/>
      <c r="BJ129" s="859"/>
      <c r="BK129" s="3"/>
      <c r="BL129" s="3"/>
      <c r="BM129" s="3"/>
      <c r="BN129" s="3"/>
    </row>
    <row r="130" spans="1:66" ht="12.75">
      <c r="A130" s="52"/>
      <c r="B130" s="52"/>
      <c r="C130" s="52"/>
      <c r="D130" s="52"/>
      <c r="E130" s="52"/>
      <c r="F130" s="52"/>
      <c r="G130" s="52"/>
      <c r="H130" s="52"/>
      <c r="I130" s="52"/>
      <c r="J130" s="52"/>
      <c r="K130" s="52"/>
      <c r="L130" s="52"/>
      <c r="M130" s="52"/>
      <c r="N130" s="52"/>
      <c r="O130" s="52"/>
      <c r="P130" s="52"/>
      <c r="Q130" s="52"/>
      <c r="R130" s="52"/>
      <c r="S130" s="52"/>
      <c r="T130" s="52"/>
      <c r="AC130" s="3"/>
      <c r="AD130" s="3"/>
      <c r="AV130" s="3"/>
      <c r="AW130" s="3"/>
      <c r="AX130" s="3"/>
      <c r="AY130" s="3"/>
      <c r="AZ130" s="3"/>
      <c r="BA130" s="3"/>
      <c r="BB130" s="3"/>
      <c r="BC130" s="3"/>
      <c r="BD130" s="3"/>
      <c r="BE130" s="3"/>
      <c r="BF130" s="3"/>
      <c r="BG130" s="3"/>
      <c r="BH130" s="3"/>
      <c r="BI130" s="3"/>
      <c r="BJ130" s="3"/>
      <c r="BK130" s="3"/>
      <c r="BL130" s="3"/>
      <c r="BM130" s="3"/>
      <c r="BN130" s="3"/>
    </row>
    <row r="131" spans="1:66" ht="12.75">
      <c r="A131" s="52"/>
      <c r="B131" s="52"/>
      <c r="C131" s="52"/>
      <c r="D131" s="52"/>
      <c r="E131" s="52"/>
      <c r="F131" s="52"/>
      <c r="G131" s="52"/>
      <c r="H131" s="52"/>
      <c r="I131" s="52"/>
      <c r="J131" s="52"/>
      <c r="K131" s="52"/>
      <c r="L131" s="52"/>
      <c r="M131" s="52"/>
      <c r="N131" s="52"/>
      <c r="O131" s="52"/>
      <c r="P131" s="52"/>
      <c r="Q131" s="52"/>
      <c r="R131" s="52"/>
      <c r="S131" s="52"/>
      <c r="T131" s="52"/>
      <c r="AC131" s="3"/>
      <c r="AD131" s="3"/>
      <c r="AV131" s="3"/>
      <c r="AW131" s="3"/>
      <c r="AX131" s="3"/>
      <c r="AY131" s="3"/>
      <c r="AZ131" s="3"/>
      <c r="BA131" s="3"/>
      <c r="BB131" s="3"/>
      <c r="BC131" s="3"/>
      <c r="BD131" s="3"/>
      <c r="BE131" s="3"/>
      <c r="BF131" s="3"/>
      <c r="BG131" s="3"/>
      <c r="BH131" s="3"/>
      <c r="BI131" s="3"/>
      <c r="BJ131" s="3"/>
      <c r="BK131" s="3"/>
      <c r="BL131" s="3"/>
      <c r="BM131" s="3"/>
      <c r="BN131" s="3"/>
    </row>
    <row r="132" spans="1:20" ht="12.75">
      <c r="A132" s="52"/>
      <c r="B132" s="52"/>
      <c r="C132" s="52"/>
      <c r="D132" s="52"/>
      <c r="E132" s="52"/>
      <c r="F132" s="52"/>
      <c r="G132" s="52"/>
      <c r="H132" s="52"/>
      <c r="I132" s="52"/>
      <c r="J132" s="52"/>
      <c r="K132" s="52"/>
      <c r="L132" s="52"/>
      <c r="M132" s="52"/>
      <c r="N132" s="52"/>
      <c r="O132" s="52"/>
      <c r="P132" s="52"/>
      <c r="Q132" s="52"/>
      <c r="R132" s="52"/>
      <c r="S132" s="52"/>
      <c r="T132" s="52"/>
    </row>
    <row r="133" spans="1:15" ht="12.75">
      <c r="A133" s="52"/>
      <c r="B133" s="52"/>
      <c r="C133" s="52"/>
      <c r="D133" s="52"/>
      <c r="E133" s="52"/>
      <c r="F133" s="52"/>
      <c r="G133" s="52"/>
      <c r="H133" s="52"/>
      <c r="I133" s="52"/>
      <c r="J133" s="52"/>
      <c r="K133" s="52"/>
      <c r="L133" s="52"/>
      <c r="M133" s="52"/>
      <c r="N133" s="52"/>
      <c r="O133" s="52"/>
    </row>
    <row r="134" spans="1:15" ht="12.75">
      <c r="A134" s="52"/>
      <c r="B134" s="52"/>
      <c r="C134" s="52"/>
      <c r="D134" s="52"/>
      <c r="E134" s="52"/>
      <c r="F134" s="52"/>
      <c r="G134" s="52"/>
      <c r="H134" s="52"/>
      <c r="I134" s="52"/>
      <c r="J134" s="52"/>
      <c r="K134" s="52"/>
      <c r="L134" s="52"/>
      <c r="M134" s="52"/>
      <c r="N134" s="52"/>
      <c r="O134" s="52"/>
    </row>
    <row r="135" spans="1:15" ht="12.75">
      <c r="A135" s="52"/>
      <c r="B135" s="52"/>
      <c r="C135" s="52"/>
      <c r="D135" s="52"/>
      <c r="E135" s="52"/>
      <c r="F135" s="52"/>
      <c r="G135" s="52"/>
      <c r="H135" s="52"/>
      <c r="I135" s="52"/>
      <c r="J135" s="52"/>
      <c r="K135" s="52"/>
      <c r="L135" s="52"/>
      <c r="M135" s="52"/>
      <c r="N135" s="52"/>
      <c r="O135" s="52"/>
    </row>
    <row r="136" spans="1:15" ht="12.75">
      <c r="A136" s="52"/>
      <c r="B136" s="52"/>
      <c r="C136" s="52"/>
      <c r="D136" s="52"/>
      <c r="E136" s="52"/>
      <c r="F136" s="52"/>
      <c r="G136" s="52"/>
      <c r="H136" s="52"/>
      <c r="I136" s="52"/>
      <c r="J136" s="52"/>
      <c r="K136" s="52"/>
      <c r="L136" s="52"/>
      <c r="M136" s="52"/>
      <c r="N136" s="52"/>
      <c r="O136" s="52"/>
    </row>
  </sheetData>
  <sheetProtection/>
  <mergeCells count="240">
    <mergeCell ref="AB129:AT129"/>
    <mergeCell ref="AB126:AT126"/>
    <mergeCell ref="AB127:AT127"/>
    <mergeCell ref="AB125:AT125"/>
    <mergeCell ref="AB122:AT122"/>
    <mergeCell ref="AB123:AT123"/>
    <mergeCell ref="AB120:AT120"/>
    <mergeCell ref="AB128:AT128"/>
    <mergeCell ref="AB121:AT121"/>
    <mergeCell ref="AB124:AT124"/>
    <mergeCell ref="AB118:AT118"/>
    <mergeCell ref="AB119:AT119"/>
    <mergeCell ref="AB116:AT116"/>
    <mergeCell ref="AB117:AT117"/>
    <mergeCell ref="AB114:AT114"/>
    <mergeCell ref="AB115:AT115"/>
    <mergeCell ref="AB112:AT112"/>
    <mergeCell ref="AB113:AT113"/>
    <mergeCell ref="AB110:AT110"/>
    <mergeCell ref="AB111:AT111"/>
    <mergeCell ref="AB108:AT108"/>
    <mergeCell ref="AB109:AT109"/>
    <mergeCell ref="AB106:AT106"/>
    <mergeCell ref="AB107:AT107"/>
    <mergeCell ref="AB104:AT104"/>
    <mergeCell ref="AB105:AT105"/>
    <mergeCell ref="AB102:AT102"/>
    <mergeCell ref="AB103:AT103"/>
    <mergeCell ref="AB100:AT100"/>
    <mergeCell ref="AB101:AT101"/>
    <mergeCell ref="AB98:AT98"/>
    <mergeCell ref="AB99:AT99"/>
    <mergeCell ref="AB90:AT90"/>
    <mergeCell ref="AB91:AT91"/>
    <mergeCell ref="AB96:AT96"/>
    <mergeCell ref="AB97:AT97"/>
    <mergeCell ref="AB89:AT89"/>
    <mergeCell ref="AB94:AT94"/>
    <mergeCell ref="AB95:AT95"/>
    <mergeCell ref="AB86:AT86"/>
    <mergeCell ref="AB87:AT87"/>
    <mergeCell ref="AB92:AT92"/>
    <mergeCell ref="AB93:AT93"/>
    <mergeCell ref="A84:M84"/>
    <mergeCell ref="A85:M85"/>
    <mergeCell ref="AB84:AT84"/>
    <mergeCell ref="AB88:AT88"/>
    <mergeCell ref="A86:M86"/>
    <mergeCell ref="A87:M87"/>
    <mergeCell ref="A88:M88"/>
    <mergeCell ref="AD51:AF51"/>
    <mergeCell ref="AW84:BJ84"/>
    <mergeCell ref="AB85:AT85"/>
    <mergeCell ref="AW85:BJ85"/>
    <mergeCell ref="AD75:AF75"/>
    <mergeCell ref="AD73:AF73"/>
    <mergeCell ref="AD64:AF64"/>
    <mergeCell ref="AD62:AF62"/>
    <mergeCell ref="AD74:AF74"/>
    <mergeCell ref="AD52:AF52"/>
    <mergeCell ref="C50:E50"/>
    <mergeCell ref="AD46:AF46"/>
    <mergeCell ref="AD37:AF37"/>
    <mergeCell ref="C28:E28"/>
    <mergeCell ref="C49:E49"/>
    <mergeCell ref="AD38:AF38"/>
    <mergeCell ref="AD39:AF39"/>
    <mergeCell ref="AD41:AF41"/>
    <mergeCell ref="AD36:AF36"/>
    <mergeCell ref="AD43:AF43"/>
    <mergeCell ref="AD49:AF49"/>
    <mergeCell ref="AD50:AF50"/>
    <mergeCell ref="AD42:AF42"/>
    <mergeCell ref="AD48:AF48"/>
    <mergeCell ref="C48:E48"/>
    <mergeCell ref="AD12:AF12"/>
    <mergeCell ref="AD13:AF13"/>
    <mergeCell ref="AD30:AF30"/>
    <mergeCell ref="AD44:AF44"/>
    <mergeCell ref="AD15:AF15"/>
    <mergeCell ref="AD16:AF16"/>
    <mergeCell ref="AD20:AF20"/>
    <mergeCell ref="AD17:AF17"/>
    <mergeCell ref="AD35:AF35"/>
    <mergeCell ref="C53:E53"/>
    <mergeCell ref="Z9:Z10"/>
    <mergeCell ref="C54:E54"/>
    <mergeCell ref="C51:E51"/>
    <mergeCell ref="C52:E52"/>
    <mergeCell ref="C46:E46"/>
    <mergeCell ref="C47:E47"/>
    <mergeCell ref="C44:E44"/>
    <mergeCell ref="C41:E41"/>
    <mergeCell ref="C17:E17"/>
    <mergeCell ref="AD53:AF53"/>
    <mergeCell ref="AD71:AF71"/>
    <mergeCell ref="AD72:AF72"/>
    <mergeCell ref="AD58:AF58"/>
    <mergeCell ref="AD54:AF54"/>
    <mergeCell ref="AD56:AF56"/>
    <mergeCell ref="AD57:AF57"/>
    <mergeCell ref="AD27:AF27"/>
    <mergeCell ref="AD28:AF28"/>
    <mergeCell ref="AD31:AF31"/>
    <mergeCell ref="AD29:AF29"/>
    <mergeCell ref="AD19:AF19"/>
    <mergeCell ref="AD25:AF25"/>
    <mergeCell ref="AD26:AF26"/>
    <mergeCell ref="AD22:AF22"/>
    <mergeCell ref="AD23:AF23"/>
    <mergeCell ref="AD24:AF24"/>
    <mergeCell ref="AD14:AF14"/>
    <mergeCell ref="AD18:AF18"/>
    <mergeCell ref="AQ6:AT6"/>
    <mergeCell ref="AN5:AP5"/>
    <mergeCell ref="AQ5:AT5"/>
    <mergeCell ref="AL5:AM5"/>
    <mergeCell ref="AI6:AK6"/>
    <mergeCell ref="AI5:AK5"/>
    <mergeCell ref="AL6:AM6"/>
    <mergeCell ref="AN6:AP6"/>
    <mergeCell ref="A1:D1"/>
    <mergeCell ref="M6:O6"/>
    <mergeCell ref="AD10:AF10"/>
    <mergeCell ref="J3:S3"/>
    <mergeCell ref="A3:I3"/>
    <mergeCell ref="AC5:AD5"/>
    <mergeCell ref="AC6:AD6"/>
    <mergeCell ref="AF5:AH5"/>
    <mergeCell ref="AF6:AH6"/>
    <mergeCell ref="X9:X10"/>
    <mergeCell ref="AM70:AO70"/>
    <mergeCell ref="AD68:AF68"/>
    <mergeCell ref="AG70:AI70"/>
    <mergeCell ref="AJ70:AL70"/>
    <mergeCell ref="AD70:AF70"/>
    <mergeCell ref="AD76:AF76"/>
    <mergeCell ref="AD77:AF77"/>
    <mergeCell ref="AD78:AF78"/>
    <mergeCell ref="AD83:AF83"/>
    <mergeCell ref="AD81:AF81"/>
    <mergeCell ref="AD82:AF82"/>
    <mergeCell ref="AD79:AF79"/>
    <mergeCell ref="C56:E56"/>
    <mergeCell ref="C57:E57"/>
    <mergeCell ref="C58:E58"/>
    <mergeCell ref="AD80:AF80"/>
    <mergeCell ref="C61:E61"/>
    <mergeCell ref="C59:E59"/>
    <mergeCell ref="AD59:AF59"/>
    <mergeCell ref="C64:E64"/>
    <mergeCell ref="C62:E62"/>
    <mergeCell ref="C69:E69"/>
    <mergeCell ref="C16:E16"/>
    <mergeCell ref="C39:E39"/>
    <mergeCell ref="C33:E33"/>
    <mergeCell ref="C23:E23"/>
    <mergeCell ref="C31:E31"/>
    <mergeCell ref="C29:E29"/>
    <mergeCell ref="C25:E25"/>
    <mergeCell ref="C27:E27"/>
    <mergeCell ref="C22:E22"/>
    <mergeCell ref="C26:E26"/>
    <mergeCell ref="P6:S6"/>
    <mergeCell ref="P5:S5"/>
    <mergeCell ref="H6:J6"/>
    <mergeCell ref="B5:C5"/>
    <mergeCell ref="B6:C6"/>
    <mergeCell ref="E5:G5"/>
    <mergeCell ref="K6:L6"/>
    <mergeCell ref="M5:O5"/>
    <mergeCell ref="K5:L5"/>
    <mergeCell ref="C10:E10"/>
    <mergeCell ref="E6:G6"/>
    <mergeCell ref="H5:J5"/>
    <mergeCell ref="C15:E15"/>
    <mergeCell ref="C12:E12"/>
    <mergeCell ref="C13:E13"/>
    <mergeCell ref="C14:E14"/>
    <mergeCell ref="C43:E43"/>
    <mergeCell ref="AD47:AF47"/>
    <mergeCell ref="A2:D2"/>
    <mergeCell ref="C30:E30"/>
    <mergeCell ref="C20:E20"/>
    <mergeCell ref="AB3:AJ3"/>
    <mergeCell ref="C42:E42"/>
    <mergeCell ref="C35:E35"/>
    <mergeCell ref="C37:E37"/>
    <mergeCell ref="C36:E36"/>
    <mergeCell ref="AK3:AT3"/>
    <mergeCell ref="C18:E18"/>
    <mergeCell ref="C19:E19"/>
    <mergeCell ref="AD61:AF61"/>
    <mergeCell ref="W8:W11"/>
    <mergeCell ref="Y8:Y11"/>
    <mergeCell ref="U7:U11"/>
    <mergeCell ref="V7:V11"/>
    <mergeCell ref="W7:Y7"/>
    <mergeCell ref="AD33:AF33"/>
    <mergeCell ref="C76:G76"/>
    <mergeCell ref="C79:G79"/>
    <mergeCell ref="C71:I71"/>
    <mergeCell ref="C72:G72"/>
    <mergeCell ref="C74:G74"/>
    <mergeCell ref="C75:E75"/>
    <mergeCell ref="C77:G77"/>
    <mergeCell ref="C70:K70"/>
    <mergeCell ref="AD69:AF69"/>
    <mergeCell ref="AD66:AF66"/>
    <mergeCell ref="AD67:AF67"/>
    <mergeCell ref="A89:M89"/>
    <mergeCell ref="A90:M90"/>
    <mergeCell ref="A91:M91"/>
    <mergeCell ref="A92:M92"/>
    <mergeCell ref="A93:M93"/>
    <mergeCell ref="A94:M94"/>
    <mergeCell ref="A95:M95"/>
    <mergeCell ref="A96:M96"/>
    <mergeCell ref="A97:M97"/>
    <mergeCell ref="A98:M98"/>
    <mergeCell ref="A99:M99"/>
    <mergeCell ref="A100:M100"/>
    <mergeCell ref="A101:M101"/>
    <mergeCell ref="A102:M102"/>
    <mergeCell ref="A103:M103"/>
    <mergeCell ref="A104:M104"/>
    <mergeCell ref="A105:M105"/>
    <mergeCell ref="A106:M106"/>
    <mergeCell ref="A107:M107"/>
    <mergeCell ref="A108:M108"/>
    <mergeCell ref="A109:M109"/>
    <mergeCell ref="A110:M110"/>
    <mergeCell ref="A111:M111"/>
    <mergeCell ref="A112:M112"/>
    <mergeCell ref="A113:M113"/>
    <mergeCell ref="A118:M118"/>
    <mergeCell ref="A114:M114"/>
    <mergeCell ref="A115:M115"/>
    <mergeCell ref="A116:M116"/>
    <mergeCell ref="A117:M117"/>
  </mergeCells>
  <conditionalFormatting sqref="O67 Q35:Q39 I41:I44 O41:O44 G64 M61:M62 I61:I62 G61:G62 G46:G54 K61:K62 O61:O62 S12:S20 K35:K38 M25:M31 I35:I37 K25:K31 G39 I25:I31 Q20 G25:G31 S22:S23 O33 O25:O31 S56:S59 K42 G33 O12:O20 G35:G37 I12:I19 K12:K19 S67 G17:G20 M12:M19 Q13:Q18 M79:M80 Q61:Q62 K79:K80 G67 I67 K67 O79:O80 Q74:Q77 K71 G12:G14 M64 S41:S44 S25:S31 K64 G41:G44 S33 O56:O59 Q56:Q58 I56:I59 K56:K59 M56:M59 S35:S39 M41:M44 I64 M33 J20 G22:G23 M35:M38 I33 K33 O35:O39 I22:I23 M22:M23 Q22:Q23 O22:O23 Q33 Q41:Q44 L20 Q25:Q31 S61:S62 K22:K23 G56:G59 Q46:Q54 M67 O74:O77 K74:K77 M74:M77 S74:S77 S79:S80 S71:S72 M72 O71:O72 Q67 Q71:Q72 Q64 O64 S64 M46:M54 I46:I54 S46:S54 O46:O54 K46:K54 Q79:Q80">
    <cfRule type="expression" priority="1" dxfId="0" stopIfTrue="1">
      <formula>AND(LEFT(AH12,1)="E",G12="")</formula>
    </cfRule>
    <cfRule type="expression" priority="2" dxfId="1" stopIfTrue="1">
      <formula>LEFT(AH12,1)="E"</formula>
    </cfRule>
    <cfRule type="expression" priority="3" dxfId="2" stopIfTrue="1">
      <formula>LEFT(AH12,1)="W"</formula>
    </cfRule>
  </conditionalFormatting>
  <conditionalFormatting sqref="E6 P5:S5 B6:C6">
    <cfRule type="expression" priority="4" dxfId="1" stopIfTrue="1">
      <formula>LEFT(AC5,1)="E"</formula>
    </cfRule>
  </conditionalFormatting>
  <conditionalFormatting sqref="A6 D6">
    <cfRule type="expression" priority="5" dxfId="1" stopIfTrue="1">
      <formula>LEFT(AC6,1)="E"</formula>
    </cfRule>
  </conditionalFormatting>
  <conditionalFormatting sqref="K6:L6 P6:S6">
    <cfRule type="expression" priority="6" dxfId="2" stopIfTrue="1">
      <formula>LEFT(AL6,1)="W"</formula>
    </cfRule>
  </conditionalFormatting>
  <conditionalFormatting sqref="H6:J6 M6:O6">
    <cfRule type="expression" priority="7" dxfId="2" stopIfTrue="1">
      <formula>LEFT(AL6,1)="W"</formula>
    </cfRule>
  </conditionalFormatting>
  <conditionalFormatting sqref="M5:O5">
    <cfRule type="expression" priority="8" dxfId="1" stopIfTrue="1">
      <formula>LEFT(AQ5,1)="E"</formula>
    </cfRule>
  </conditionalFormatting>
  <conditionalFormatting sqref="A1:D1">
    <cfRule type="expression" priority="9" dxfId="3" stopIfTrue="1">
      <formula>AU1&lt;&gt;0</formula>
    </cfRule>
    <cfRule type="expression" priority="10" dxfId="4" stopIfTrue="1">
      <formula>AU1=0</formula>
    </cfRule>
  </conditionalFormatting>
  <printOptions/>
  <pageMargins left="0.17" right="0.17" top="0.27" bottom="0.33" header="0.17" footer="0.17"/>
  <pageSetup fitToHeight="0" fitToWidth="1" horizontalDpi="600" verticalDpi="600" orientation="landscape" paperSize="9" scale="97" r:id="rId2"/>
  <rowBreaks count="1" manualBreakCount="1">
    <brk id="68" max="18" man="1"/>
  </rowBreaks>
  <drawing r:id="rId1"/>
</worksheet>
</file>

<file path=xl/worksheets/sheet3.xml><?xml version="1.0" encoding="utf-8"?>
<worksheet xmlns="http://schemas.openxmlformats.org/spreadsheetml/2006/main" xmlns:r="http://schemas.openxmlformats.org/officeDocument/2006/relationships">
  <sheetPr codeName="Sheet6"/>
  <dimension ref="A1:DQ243"/>
  <sheetViews>
    <sheetView showGridLines="0" workbookViewId="0" topLeftCell="A1">
      <pane xSplit="4" ySplit="18" topLeftCell="J91" activePane="bottomRight" state="frozen"/>
      <selection pane="topLeft" activeCell="A1" sqref="A1"/>
      <selection pane="topRight" activeCell="E1" sqref="E1"/>
      <selection pane="bottomLeft" activeCell="A19" sqref="A19"/>
      <selection pane="bottomRight" activeCell="U1" sqref="U1:U16384"/>
    </sheetView>
  </sheetViews>
  <sheetFormatPr defaultColWidth="9.140625" defaultRowHeight="12.75"/>
  <cols>
    <col min="1" max="1" width="9.140625" style="3" customWidth="1"/>
    <col min="2" max="2" width="8.57421875" style="3" customWidth="1"/>
    <col min="3" max="3" width="62.00390625" style="3" customWidth="1"/>
    <col min="4" max="4" width="8.57421875" style="3" customWidth="1"/>
    <col min="5" max="13" width="10.7109375" style="3" customWidth="1"/>
    <col min="14" max="16" width="10.00390625" style="3" customWidth="1"/>
    <col min="17" max="17" width="11.140625" style="3" customWidth="1"/>
    <col min="18" max="19" width="10.140625" style="3" customWidth="1"/>
    <col min="20" max="20" width="15.7109375" style="3" customWidth="1"/>
    <col min="21" max="21" width="11.140625" style="3" customWidth="1"/>
    <col min="22" max="22" width="16.140625" style="3" customWidth="1"/>
    <col min="23" max="23" width="11.8515625" style="3" customWidth="1"/>
    <col min="24" max="24" width="13.00390625" style="3" customWidth="1"/>
    <col min="25" max="25" width="12.28125" style="3" customWidth="1"/>
    <col min="26" max="27" width="11.8515625" style="3" customWidth="1"/>
    <col min="28" max="28" width="11.57421875" style="3" customWidth="1"/>
    <col min="29" max="30" width="10.00390625" style="3" customWidth="1"/>
    <col min="31" max="33" width="9.140625" style="3" customWidth="1"/>
    <col min="34" max="34" width="9.140625" style="60" customWidth="1"/>
    <col min="35" max="41" width="9.140625" style="52" customWidth="1"/>
    <col min="42" max="42" width="9.57421875" style="52" bestFit="1" customWidth="1"/>
    <col min="43" max="43" width="9.140625" style="3" customWidth="1"/>
    <col min="44" max="44" width="13.7109375" style="3" customWidth="1"/>
    <col min="45" max="45" width="42.57421875" style="3" customWidth="1"/>
    <col min="46" max="46" width="17.8515625" style="3" customWidth="1"/>
    <col min="47" max="47" width="9.140625" style="3" customWidth="1"/>
    <col min="48" max="48" width="12.421875" style="3" customWidth="1"/>
    <col min="49" max="49" width="11.8515625" style="3" customWidth="1"/>
    <col min="50" max="50" width="10.7109375" style="3" customWidth="1"/>
    <col min="51" max="51" width="11.140625" style="3" customWidth="1"/>
    <col min="52" max="52" width="9.140625" style="3" customWidth="1"/>
    <col min="53" max="53" width="11.00390625" style="3" customWidth="1"/>
    <col min="54" max="54" width="9.140625" style="3" customWidth="1"/>
    <col min="55" max="58" width="10.00390625" style="3" customWidth="1"/>
    <col min="59" max="59" width="9.140625" style="3" customWidth="1"/>
    <col min="60" max="60" width="10.140625" style="3" customWidth="1"/>
    <col min="61" max="61" width="10.00390625" style="3" customWidth="1"/>
    <col min="62" max="63" width="11.28125" style="3" customWidth="1"/>
    <col min="64" max="64" width="16.00390625" style="3" customWidth="1"/>
    <col min="65" max="65" width="11.57421875" style="3" customWidth="1"/>
    <col min="66" max="66" width="10.140625" style="3" customWidth="1"/>
    <col min="67" max="67" width="10.00390625" style="3" customWidth="1"/>
    <col min="68" max="69" width="11.7109375" style="3" customWidth="1"/>
    <col min="70" max="70" width="11.28125" style="3" customWidth="1"/>
    <col min="71" max="72" width="10.8515625" style="3" customWidth="1"/>
    <col min="73" max="73" width="10.00390625" style="3" customWidth="1"/>
    <col min="74" max="74" width="9.8515625" style="3" customWidth="1"/>
    <col min="75" max="75" width="5.00390625" style="3" hidden="1" customWidth="1"/>
    <col min="76" max="76" width="9.140625" style="3" hidden="1" customWidth="1"/>
    <col min="77" max="77" width="5.8515625" style="154" customWidth="1"/>
    <col min="78" max="78" width="8.28125" style="154" customWidth="1"/>
    <col min="79" max="80" width="9.140625" style="154" customWidth="1"/>
    <col min="81" max="81" width="9.140625" style="154" hidden="1" customWidth="1"/>
    <col min="82" max="82" width="9.140625" style="154" customWidth="1"/>
    <col min="83" max="90" width="9.140625" style="3" customWidth="1"/>
    <col min="91" max="91" width="12.140625" style="3" customWidth="1"/>
    <col min="92" max="110" width="9.140625" style="3" customWidth="1"/>
    <col min="111" max="111" width="9.140625" style="3" hidden="1" customWidth="1"/>
    <col min="112" max="16384" width="9.140625" style="3" customWidth="1"/>
  </cols>
  <sheetData>
    <row r="1" spans="1:111" ht="34.5" customHeight="1">
      <c r="A1" s="898" t="str">
        <f>IF(BW1&lt;&gt;0,"ERRORS/WARNINGS ARE PRESENT","NO ERRORS/WARNINGS")</f>
        <v>NO ERRORS/WARNINGS</v>
      </c>
      <c r="B1" s="898"/>
      <c r="C1" s="898"/>
      <c r="D1" s="898"/>
      <c r="H1" s="604" t="s">
        <v>602</v>
      </c>
      <c r="AR1" s="256"/>
      <c r="AS1" s="256"/>
      <c r="AT1" s="256"/>
      <c r="AU1" s="256"/>
      <c r="AV1" s="256"/>
      <c r="AW1" s="256"/>
      <c r="AX1" s="256"/>
      <c r="BV1" s="256"/>
      <c r="BW1" s="605">
        <f>SUM(BW5:BW157)</f>
        <v>0</v>
      </c>
      <c r="DG1" s="3">
        <f>SUM(DG19:DG133)</f>
        <v>0</v>
      </c>
    </row>
    <row r="2" spans="1:75" ht="34.5" customHeight="1" thickBot="1">
      <c r="A2" s="922" t="s">
        <v>603</v>
      </c>
      <c r="B2" s="922"/>
      <c r="C2" s="922"/>
      <c r="D2" s="922"/>
      <c r="H2" s="51"/>
      <c r="AR2" s="256"/>
      <c r="AS2" s="256"/>
      <c r="AT2" s="256"/>
      <c r="AU2" s="256"/>
      <c r="AV2" s="256"/>
      <c r="AW2" s="256"/>
      <c r="AX2" s="256"/>
      <c r="BV2" s="256"/>
      <c r="BW2" s="256"/>
    </row>
    <row r="3" spans="1:74" ht="13.5" thickBot="1">
      <c r="A3" s="894" t="s">
        <v>382</v>
      </c>
      <c r="B3" s="895"/>
      <c r="C3" s="895"/>
      <c r="D3" s="895"/>
      <c r="E3" s="895"/>
      <c r="F3" s="899" t="s">
        <v>604</v>
      </c>
      <c r="G3" s="899"/>
      <c r="H3" s="899"/>
      <c r="I3" s="899"/>
      <c r="J3" s="899"/>
      <c r="K3" s="899"/>
      <c r="L3" s="899"/>
      <c r="M3" s="900"/>
      <c r="N3" s="606"/>
      <c r="O3" s="606"/>
      <c r="P3" s="606"/>
      <c r="Q3" s="607"/>
      <c r="R3" s="607"/>
      <c r="S3" s="607"/>
      <c r="T3" s="607"/>
      <c r="U3" s="607"/>
      <c r="V3" s="607"/>
      <c r="AQ3" s="1074" t="str">
        <f>A3</f>
        <v>Children, Schools and Families Financial Data Collection </v>
      </c>
      <c r="AR3" s="1075"/>
      <c r="AS3" s="1075"/>
      <c r="AT3" s="1075"/>
      <c r="AU3" s="1076"/>
      <c r="AV3" s="1077" t="str">
        <f>F3</f>
        <v>Table 2 - School Level Information</v>
      </c>
      <c r="AW3" s="1078"/>
      <c r="AX3" s="1078"/>
      <c r="AY3" s="1078"/>
      <c r="AZ3" s="1078"/>
      <c r="BA3" s="1078"/>
      <c r="BB3" s="1079"/>
      <c r="BC3" s="606"/>
      <c r="BD3" s="606"/>
      <c r="BE3" s="606"/>
      <c r="BF3" s="606"/>
      <c r="BV3" s="256"/>
    </row>
    <row r="4" spans="44:74" ht="13.5" thickBot="1">
      <c r="AR4" s="256"/>
      <c r="AS4" s="256"/>
      <c r="AT4" s="256"/>
      <c r="AU4" s="256"/>
      <c r="AV4" s="256"/>
      <c r="AW4" s="256"/>
      <c r="AX4" s="256"/>
      <c r="BV4" s="256"/>
    </row>
    <row r="5" spans="1:75" ht="36.75" customHeight="1" thickBot="1">
      <c r="A5" s="493" t="s">
        <v>804</v>
      </c>
      <c r="B5" s="915" t="s">
        <v>805</v>
      </c>
      <c r="C5" s="916"/>
      <c r="D5" s="494" t="s">
        <v>605</v>
      </c>
      <c r="E5" s="1007" t="str">
        <f>IF('Table 3a'!E5:I5&lt;&gt;"",'Table 3a'!E5:I5,"")</f>
        <v>Solihull</v>
      </c>
      <c r="F5" s="1008"/>
      <c r="G5" s="1009"/>
      <c r="H5" s="494" t="s">
        <v>606</v>
      </c>
      <c r="I5" s="10">
        <f>IF('Table 3a'!L5&lt;&gt;"",'Table 3a'!L5,"")</f>
        <v>334</v>
      </c>
      <c r="J5" s="1037" t="s">
        <v>809</v>
      </c>
      <c r="K5" s="1038"/>
      <c r="L5" s="1039">
        <f>IF('Table 3a'!P5="","",'Table 3a'!P5)</f>
        <v>0</v>
      </c>
      <c r="M5" s="1040"/>
      <c r="N5" s="608"/>
      <c r="O5" s="608"/>
      <c r="P5" s="608"/>
      <c r="Q5" s="609"/>
      <c r="R5" s="610"/>
      <c r="S5" s="610"/>
      <c r="T5" s="610"/>
      <c r="U5" s="610"/>
      <c r="V5" s="610"/>
      <c r="AQ5" s="611" t="str">
        <f>A5</f>
        <v>Year</v>
      </c>
      <c r="AR5" s="612" t="str">
        <f>B5</f>
        <v>2010-11</v>
      </c>
      <c r="AS5" s="613" t="str">
        <f>D5</f>
        <v>Local Authority
Name</v>
      </c>
      <c r="AT5" s="1080"/>
      <c r="AU5" s="1080"/>
      <c r="AV5" s="1080"/>
      <c r="AW5" s="614" t="str">
        <f>H5</f>
        <v>Local Authority Number </v>
      </c>
      <c r="AX5" s="615"/>
      <c r="AY5" s="890" t="str">
        <f>J5</f>
        <v>Email Address</v>
      </c>
      <c r="AZ5" s="890"/>
      <c r="BA5" s="891"/>
      <c r="BB5" s="891"/>
      <c r="BC5" s="608"/>
      <c r="BD5" s="608"/>
      <c r="BE5" s="608"/>
      <c r="BF5" s="608"/>
      <c r="BV5" s="256"/>
      <c r="BW5" s="605">
        <f>IF(LEN(TRIM(BA5))&gt;0,1,0)</f>
        <v>0</v>
      </c>
    </row>
    <row r="6" spans="1:75" ht="13.5" thickBot="1">
      <c r="A6" s="496" t="s">
        <v>810</v>
      </c>
      <c r="B6" s="1047">
        <f>IF('Table 3a'!B6="","",'Table 3a'!B6)</f>
        <v>0</v>
      </c>
      <c r="C6" s="1048"/>
      <c r="D6" s="496" t="s">
        <v>811</v>
      </c>
      <c r="E6" s="1007" t="str">
        <f>IF('Table 3a'!E6="","",'Table 3a'!E6)</f>
        <v>0121-704-6692</v>
      </c>
      <c r="F6" s="1008"/>
      <c r="G6" s="1009"/>
      <c r="H6" s="616" t="s">
        <v>813</v>
      </c>
      <c r="I6" s="10">
        <f>IF('Table 3a'!L6="","",'Table 3a'!L6)</f>
        <v>4</v>
      </c>
      <c r="J6" s="1013" t="s">
        <v>814</v>
      </c>
      <c r="K6" s="1014"/>
      <c r="L6" s="1011" t="str">
        <f>IF('Table 3a'!P6="","",'Table 3a'!P6)</f>
        <v>28 July 2009</v>
      </c>
      <c r="M6" s="1012"/>
      <c r="N6" s="617"/>
      <c r="O6" s="617"/>
      <c r="P6" s="617"/>
      <c r="Q6" s="609"/>
      <c r="R6" s="610"/>
      <c r="S6" s="610"/>
      <c r="T6" s="610"/>
      <c r="U6" s="610"/>
      <c r="V6" s="610"/>
      <c r="AQ6" s="618" t="str">
        <f>A6</f>
        <v>Contact</v>
      </c>
      <c r="AR6" s="619">
        <f>IF(AND(B6="",$H$1&lt;&gt;"*"),"",IF(AND(B6="",$H$1="*"),"Error H1",""))</f>
      </c>
      <c r="AS6" s="620" t="str">
        <f>D6</f>
        <v>Tel No.</v>
      </c>
      <c r="AT6" s="897">
        <f>IF(AND(E6="",$H$1&lt;&gt;"*"),"",IF(AND(E6="",$H$1="*"),"Error H2",IF(AND(E6&lt;&gt;"",ISNUMBER(VALUE(LEFT(E6,1)))=FALSE),"Error H2","")))</f>
      </c>
      <c r="AU6" s="897"/>
      <c r="AV6" s="897"/>
      <c r="AW6" s="620" t="str">
        <f>H6</f>
        <v>Version No.</v>
      </c>
      <c r="AX6" s="621">
        <f>IF(AND(I6="",$H$1&lt;&gt;"*"),"",IF(AND(I6="",$H$1="*"),"Warning H1",IF(AND(I6&lt;&gt;"",ISNUMBER(VALUE(I6))=FALSE),"Warning H1",IF(I6-INT(I6)&lt;&gt;0,"Warning H1",IF(I6&lt;1,"Warning H1","")))))</f>
      </c>
      <c r="AY6" s="893" t="str">
        <f>J6</f>
        <v>Completion Date</v>
      </c>
      <c r="AZ6" s="893"/>
      <c r="BA6" s="1081">
        <f ca="1">IF(AND(L6="",$H$1&lt;&gt;"*"),"",IF(AND(L6="",$H$1="*"),"Warning H2",IF(ISERROR(DATEVALUE(L6)),"Warning H2",IF(DATEVALUE(L6)&gt;TODAY(),"Warning H2",""))))</f>
      </c>
      <c r="BB6" s="1081"/>
      <c r="BC6" s="617"/>
      <c r="BD6" s="617"/>
      <c r="BE6" s="617"/>
      <c r="BF6" s="617"/>
      <c r="BV6" s="256"/>
      <c r="BW6" s="605">
        <f>IF(LEN(TRIM(AR6&amp;AT6&amp;AX6&amp;BA6))&gt;0,1,0)</f>
        <v>0</v>
      </c>
    </row>
    <row r="7" spans="34:74" ht="12.75">
      <c r="AH7" s="52"/>
      <c r="BV7" s="256"/>
    </row>
    <row r="8" spans="34:82" s="219" customFormat="1" ht="12.75">
      <c r="AH8" s="274"/>
      <c r="AI8" s="154"/>
      <c r="AJ8" s="154"/>
      <c r="AK8" s="154"/>
      <c r="AL8" s="154"/>
      <c r="AM8" s="154"/>
      <c r="AN8" s="154"/>
      <c r="AO8" s="154"/>
      <c r="AP8" s="154"/>
      <c r="BY8" s="154"/>
      <c r="BZ8" s="154"/>
      <c r="CA8" s="154"/>
      <c r="CB8" s="154"/>
      <c r="CC8" s="154"/>
      <c r="CD8" s="154"/>
    </row>
    <row r="9" spans="3:82" s="623" customFormat="1" ht="12.75" customHeight="1">
      <c r="C9" s="1041" t="s">
        <v>453</v>
      </c>
      <c r="D9" s="1042"/>
      <c r="E9" s="967" t="s">
        <v>470</v>
      </c>
      <c r="F9" s="967" t="s">
        <v>476</v>
      </c>
      <c r="G9" s="967" t="s">
        <v>478</v>
      </c>
      <c r="H9" s="967" t="s">
        <v>607</v>
      </c>
      <c r="I9" s="967" t="s">
        <v>608</v>
      </c>
      <c r="J9" s="957" t="s">
        <v>609</v>
      </c>
      <c r="K9" s="967" t="s">
        <v>610</v>
      </c>
      <c r="L9" s="967" t="s">
        <v>611</v>
      </c>
      <c r="M9" s="967" t="s">
        <v>612</v>
      </c>
      <c r="N9" s="957" t="s">
        <v>613</v>
      </c>
      <c r="O9" s="957" t="s">
        <v>412</v>
      </c>
      <c r="P9" s="957" t="s">
        <v>614</v>
      </c>
      <c r="Q9" s="959" t="s">
        <v>615</v>
      </c>
      <c r="R9" s="960"/>
      <c r="S9" s="961"/>
      <c r="T9" s="973" t="s">
        <v>616</v>
      </c>
      <c r="U9" s="968" t="s">
        <v>617</v>
      </c>
      <c r="V9" s="969"/>
      <c r="W9" s="969"/>
      <c r="X9" s="969"/>
      <c r="Y9" s="969"/>
      <c r="Z9" s="969"/>
      <c r="AA9" s="969"/>
      <c r="AB9" s="969"/>
      <c r="AC9" s="969"/>
      <c r="AD9" s="969"/>
      <c r="AE9" s="969"/>
      <c r="AF9" s="970"/>
      <c r="AG9" s="624"/>
      <c r="AH9" s="625"/>
      <c r="AI9" s="624"/>
      <c r="AJ9" s="624"/>
      <c r="AK9" s="624"/>
      <c r="AL9" s="624"/>
      <c r="AM9" s="624"/>
      <c r="AN9" s="624"/>
      <c r="AO9" s="624"/>
      <c r="AP9" s="626"/>
      <c r="AS9" s="1082" t="str">
        <f>C9</f>
        <v>Nursery / Primary / Secondary schools</v>
      </c>
      <c r="AT9" s="1083"/>
      <c r="AU9" s="1015" t="str">
        <f aca="true" t="shared" si="0" ref="AU9:BA9">E9</f>
        <v>(3)
Total age-weighted funding</v>
      </c>
      <c r="AV9" s="1015" t="str">
        <f t="shared" si="0"/>
        <v>(4)
Total Additional Pupil Led Funding</v>
      </c>
      <c r="AW9" s="1015" t="str">
        <f t="shared" si="0"/>
        <v>(5)
Total LSC Funding</v>
      </c>
      <c r="AX9" s="1015" t="str">
        <f t="shared" si="0"/>
        <v>(6)
Total AEN- Learning needs associated with EAL</v>
      </c>
      <c r="AY9" s="1015" t="str">
        <f t="shared" si="0"/>
        <v>(7)
Total AEN - Identified Special Educational Needs (pupil-led)   </v>
      </c>
      <c r="AZ9" s="1015" t="str">
        <f t="shared" si="0"/>
        <v>(8)
Total Identified Special Educational Needs (non pupil-led)  </v>
      </c>
      <c r="BA9" s="1015" t="str">
        <f t="shared" si="0"/>
        <v>(9)
Total AEN - Other learning needs   </v>
      </c>
      <c r="BB9" s="1015" t="str">
        <f aca="true" t="shared" si="1" ref="BB9:BG9">L9</f>
        <v>(10)
Total AEN -Social Need</v>
      </c>
      <c r="BC9" s="967" t="str">
        <f t="shared" si="1"/>
        <v>(11)
Total Site-specific factors  (Including pupil-led)       </v>
      </c>
      <c r="BD9" s="1072" t="str">
        <f t="shared" si="1"/>
        <v>(12)
Total School-specific factors (including pupil-led) </v>
      </c>
      <c r="BE9" s="957" t="str">
        <f t="shared" si="1"/>
        <v>(13)
Total budget adjustments</v>
      </c>
      <c r="BF9" s="957" t="str">
        <f t="shared" si="1"/>
        <v>(14)
Minimum funding guarantee </v>
      </c>
      <c r="BG9" s="959" t="str">
        <f t="shared" si="1"/>
        <v>(15) TOTAL BUDGET SHARE</v>
      </c>
      <c r="BH9" s="960"/>
      <c r="BI9" s="961"/>
      <c r="BJ9" s="967" t="str">
        <f>T9</f>
        <v>(18) MFG VARIATION APPLIED?</v>
      </c>
      <c r="BK9" s="968" t="str">
        <f>U9</f>
        <v>Memorandum Items</v>
      </c>
      <c r="BL9" s="969"/>
      <c r="BM9" s="969"/>
      <c r="BN9" s="969"/>
      <c r="BO9" s="969"/>
      <c r="BP9" s="969"/>
      <c r="BQ9" s="969"/>
      <c r="BR9" s="969"/>
      <c r="BS9" s="969"/>
      <c r="BT9" s="969"/>
      <c r="BU9" s="969"/>
      <c r="BV9" s="970"/>
      <c r="BY9" s="626"/>
      <c r="BZ9" s="626"/>
      <c r="CA9" s="626"/>
      <c r="CB9" s="626"/>
      <c r="CC9" s="626"/>
      <c r="CD9" s="626"/>
    </row>
    <row r="10" spans="3:82" s="623" customFormat="1" ht="12.75" customHeight="1">
      <c r="C10" s="1043"/>
      <c r="D10" s="1044"/>
      <c r="E10" s="964"/>
      <c r="F10" s="964"/>
      <c r="G10" s="964"/>
      <c r="H10" s="964"/>
      <c r="I10" s="964"/>
      <c r="J10" s="1010"/>
      <c r="K10" s="964"/>
      <c r="L10" s="964"/>
      <c r="M10" s="958"/>
      <c r="N10" s="958"/>
      <c r="O10" s="958"/>
      <c r="P10" s="958"/>
      <c r="Q10" s="962"/>
      <c r="R10" s="953"/>
      <c r="S10" s="963"/>
      <c r="T10" s="974"/>
      <c r="U10" s="968" t="s">
        <v>618</v>
      </c>
      <c r="V10" s="969"/>
      <c r="W10" s="969"/>
      <c r="X10" s="969"/>
      <c r="Y10" s="969"/>
      <c r="Z10" s="969"/>
      <c r="AA10" s="970"/>
      <c r="AB10" s="969" t="s">
        <v>619</v>
      </c>
      <c r="AC10" s="969"/>
      <c r="AD10" s="969"/>
      <c r="AE10" s="969"/>
      <c r="AF10" s="970"/>
      <c r="AG10" s="624"/>
      <c r="AH10" s="951"/>
      <c r="AI10" s="952"/>
      <c r="AJ10" s="952"/>
      <c r="AK10" s="952"/>
      <c r="AL10" s="952"/>
      <c r="AM10" s="952"/>
      <c r="AN10" s="952"/>
      <c r="AO10" s="952"/>
      <c r="AP10" s="952"/>
      <c r="AQ10" s="626"/>
      <c r="AS10" s="1084"/>
      <c r="AT10" s="1085"/>
      <c r="AU10" s="1015"/>
      <c r="AV10" s="1015"/>
      <c r="AW10" s="1015"/>
      <c r="AX10" s="1015"/>
      <c r="AY10" s="1015"/>
      <c r="AZ10" s="1015"/>
      <c r="BA10" s="1015"/>
      <c r="BB10" s="1015"/>
      <c r="BC10" s="958"/>
      <c r="BD10" s="1073"/>
      <c r="BE10" s="958"/>
      <c r="BF10" s="958"/>
      <c r="BG10" s="962"/>
      <c r="BH10" s="953"/>
      <c r="BI10" s="963"/>
      <c r="BJ10" s="1101"/>
      <c r="BK10" s="968" t="str">
        <f>U10</f>
        <v>Grants</v>
      </c>
      <c r="BL10" s="969"/>
      <c r="BM10" s="969"/>
      <c r="BN10" s="969"/>
      <c r="BO10" s="969"/>
      <c r="BP10" s="969"/>
      <c r="BQ10" s="970"/>
      <c r="BR10" s="968" t="str">
        <f>AB10</f>
        <v>Other</v>
      </c>
      <c r="BS10" s="969"/>
      <c r="BT10" s="969"/>
      <c r="BU10" s="969"/>
      <c r="BV10" s="970"/>
      <c r="BY10" s="626"/>
      <c r="BZ10" s="626"/>
      <c r="CA10" s="626"/>
      <c r="CB10" s="626"/>
      <c r="CC10" s="626"/>
      <c r="CD10" s="626"/>
    </row>
    <row r="11" spans="3:82" s="623" customFormat="1" ht="12.75" customHeight="1">
      <c r="C11" s="1043"/>
      <c r="D11" s="1044"/>
      <c r="E11" s="964"/>
      <c r="F11" s="964"/>
      <c r="G11" s="964"/>
      <c r="H11" s="964"/>
      <c r="I11" s="964"/>
      <c r="J11" s="1010"/>
      <c r="K11" s="964"/>
      <c r="L11" s="964"/>
      <c r="M11" s="958"/>
      <c r="N11" s="958"/>
      <c r="O11" s="958"/>
      <c r="P11" s="958"/>
      <c r="Q11" s="962"/>
      <c r="R11" s="953"/>
      <c r="S11" s="963"/>
      <c r="T11" s="974"/>
      <c r="U11" s="1065" t="s">
        <v>620</v>
      </c>
      <c r="V11" s="967" t="s">
        <v>621</v>
      </c>
      <c r="W11" s="967"/>
      <c r="X11" s="967" t="s">
        <v>622</v>
      </c>
      <c r="Y11" s="967" t="s">
        <v>623</v>
      </c>
      <c r="Z11" s="967" t="s">
        <v>624</v>
      </c>
      <c r="AA11" s="967" t="s">
        <v>625</v>
      </c>
      <c r="AB11" s="967" t="s">
        <v>626</v>
      </c>
      <c r="AC11" s="967" t="s">
        <v>627</v>
      </c>
      <c r="AD11" s="967" t="s">
        <v>628</v>
      </c>
      <c r="AE11" s="967" t="s">
        <v>629</v>
      </c>
      <c r="AF11" s="967" t="s">
        <v>630</v>
      </c>
      <c r="AG11" s="629"/>
      <c r="AH11" s="953"/>
      <c r="AI11" s="953"/>
      <c r="AJ11" s="953"/>
      <c r="AK11" s="953"/>
      <c r="AL11" s="953"/>
      <c r="AM11" s="630"/>
      <c r="AN11" s="953"/>
      <c r="AO11" s="966"/>
      <c r="AP11" s="966"/>
      <c r="AQ11" s="632"/>
      <c r="AS11" s="1084"/>
      <c r="AT11" s="1085"/>
      <c r="AU11" s="1015"/>
      <c r="AV11" s="1015"/>
      <c r="AW11" s="1015"/>
      <c r="AX11" s="1015"/>
      <c r="AY11" s="1015"/>
      <c r="AZ11" s="1015"/>
      <c r="BA11" s="1015"/>
      <c r="BB11" s="1015"/>
      <c r="BC11" s="958"/>
      <c r="BD11" s="1073"/>
      <c r="BE11" s="958"/>
      <c r="BF11" s="958"/>
      <c r="BG11" s="962"/>
      <c r="BH11" s="953"/>
      <c r="BI11" s="963"/>
      <c r="BJ11" s="1101"/>
      <c r="BK11" s="967" t="str">
        <f>U11</f>
        <v>(19)
SCHOOL STANDARDS GRANT</v>
      </c>
      <c r="BL11" s="967" t="str">
        <f aca="true" t="shared" si="2" ref="BL11:BQ11">V11</f>
        <v>(20)
SCHOOL
STANDARDS
GRANT (PERSONALISATION)</v>
      </c>
      <c r="BM11" s="967"/>
      <c r="BN11" s="967" t="str">
        <f t="shared" si="2"/>
        <v>(22)
SCHOOL DEVELOPMENT GRANT - MAIN 2010-11</v>
      </c>
      <c r="BO11" s="967" t="str">
        <f t="shared" si="2"/>
        <v>(23)
SCHOOL DEVELOPMENT GRANT - OTHER 2010-11</v>
      </c>
      <c r="BP11" s="967" t="str">
        <f t="shared" si="2"/>
        <v>(24)
OTHER STANDARDS FUND ALLOCATION          </v>
      </c>
      <c r="BQ11" s="967" t="str">
        <f t="shared" si="2"/>
        <v>(25)
THRESHOLD AND PERFORMANCE PAY</v>
      </c>
      <c r="BR11" s="967" t="str">
        <f>AB11</f>
        <v>(26)
SUPPORT FOR SCHOOLS IN FINANCIAL DIFFICULTY</v>
      </c>
      <c r="BS11" s="967" t="str">
        <f>AC11</f>
        <v>(27)
NOTIONAL SEN BUDGET</v>
      </c>
      <c r="BT11" s="967" t="str">
        <f>AD11</f>
        <v>(28)
LSC Pupils (January 2010) </v>
      </c>
      <c r="BU11" s="967" t="str">
        <f>AE11</f>
        <v>(29)
SCHOOL OPENING / CLOSING</v>
      </c>
      <c r="BV11" s="967" t="str">
        <f>AF11</f>
        <v>(30) 
DATE OPENING / CLOSING</v>
      </c>
      <c r="BW11" s="967">
        <f>AG11</f>
        <v>0</v>
      </c>
      <c r="BX11" s="967"/>
      <c r="BY11" s="627"/>
      <c r="BZ11" s="953"/>
      <c r="CA11" s="953"/>
      <c r="CB11" s="1102"/>
      <c r="CC11" s="953"/>
      <c r="CD11" s="953"/>
    </row>
    <row r="12" spans="3:82" s="623" customFormat="1" ht="12.75" customHeight="1">
      <c r="C12" s="1043"/>
      <c r="D12" s="1044"/>
      <c r="E12" s="964"/>
      <c r="F12" s="964"/>
      <c r="G12" s="964"/>
      <c r="H12" s="964"/>
      <c r="I12" s="964"/>
      <c r="J12" s="1010"/>
      <c r="K12" s="964"/>
      <c r="L12" s="964"/>
      <c r="M12" s="958"/>
      <c r="N12" s="958"/>
      <c r="O12" s="958"/>
      <c r="P12" s="958"/>
      <c r="Q12" s="962"/>
      <c r="R12" s="953"/>
      <c r="S12" s="963"/>
      <c r="T12" s="974"/>
      <c r="U12" s="1066"/>
      <c r="V12" s="964"/>
      <c r="W12" s="964"/>
      <c r="X12" s="964"/>
      <c r="Y12" s="964"/>
      <c r="Z12" s="964"/>
      <c r="AA12" s="964"/>
      <c r="AB12" s="964"/>
      <c r="AC12" s="964"/>
      <c r="AD12" s="964"/>
      <c r="AE12" s="964"/>
      <c r="AF12" s="964"/>
      <c r="AG12" s="629"/>
      <c r="AH12" s="954"/>
      <c r="AI12" s="956"/>
      <c r="AJ12" s="953"/>
      <c r="AK12" s="953"/>
      <c r="AL12" s="953"/>
      <c r="AM12" s="630"/>
      <c r="AN12" s="953"/>
      <c r="AO12" s="966"/>
      <c r="AP12" s="966"/>
      <c r="AQ12" s="632"/>
      <c r="AS12" s="1084"/>
      <c r="AT12" s="1085"/>
      <c r="AU12" s="1015"/>
      <c r="AV12" s="1015"/>
      <c r="AW12" s="1015"/>
      <c r="AX12" s="1015"/>
      <c r="AY12" s="1015"/>
      <c r="AZ12" s="1015"/>
      <c r="BA12" s="1015"/>
      <c r="BB12" s="1015"/>
      <c r="BC12" s="958"/>
      <c r="BD12" s="1073"/>
      <c r="BE12" s="958"/>
      <c r="BF12" s="958"/>
      <c r="BG12" s="962"/>
      <c r="BH12" s="953"/>
      <c r="BI12" s="963"/>
      <c r="BJ12" s="1101"/>
      <c r="BK12" s="964"/>
      <c r="BL12" s="964"/>
      <c r="BM12" s="964"/>
      <c r="BN12" s="964"/>
      <c r="BO12" s="964"/>
      <c r="BP12" s="964"/>
      <c r="BQ12" s="964"/>
      <c r="BR12" s="964"/>
      <c r="BS12" s="964"/>
      <c r="BT12" s="964"/>
      <c r="BU12" s="964"/>
      <c r="BV12" s="964"/>
      <c r="BW12" s="964"/>
      <c r="BX12" s="964"/>
      <c r="BY12" s="627"/>
      <c r="BZ12" s="954"/>
      <c r="CA12" s="953"/>
      <c r="CB12" s="1102"/>
      <c r="CC12" s="953"/>
      <c r="CD12" s="953"/>
    </row>
    <row r="13" spans="3:82" s="623" customFormat="1" ht="12.75" customHeight="1">
      <c r="C13" s="1043"/>
      <c r="D13" s="1044"/>
      <c r="E13" s="964"/>
      <c r="F13" s="964"/>
      <c r="G13" s="964"/>
      <c r="H13" s="964"/>
      <c r="I13" s="964"/>
      <c r="J13" s="1010"/>
      <c r="K13" s="964"/>
      <c r="L13" s="964"/>
      <c r="M13" s="958"/>
      <c r="N13" s="958"/>
      <c r="O13" s="958"/>
      <c r="P13" s="958"/>
      <c r="Q13" s="962"/>
      <c r="R13" s="953"/>
      <c r="S13" s="963"/>
      <c r="T13" s="974"/>
      <c r="U13" s="1066"/>
      <c r="V13" s="964"/>
      <c r="W13" s="964"/>
      <c r="X13" s="964"/>
      <c r="Y13" s="964"/>
      <c r="Z13" s="964"/>
      <c r="AA13" s="964"/>
      <c r="AB13" s="964"/>
      <c r="AC13" s="964"/>
      <c r="AD13" s="964"/>
      <c r="AE13" s="964"/>
      <c r="AF13" s="964"/>
      <c r="AG13" s="629"/>
      <c r="AH13" s="954"/>
      <c r="AI13" s="956"/>
      <c r="AJ13" s="953"/>
      <c r="AK13" s="953"/>
      <c r="AL13" s="953"/>
      <c r="AM13" s="630"/>
      <c r="AN13" s="953"/>
      <c r="AO13" s="966"/>
      <c r="AP13" s="966"/>
      <c r="AQ13" s="632"/>
      <c r="AS13" s="1084"/>
      <c r="AT13" s="1085"/>
      <c r="AU13" s="1015"/>
      <c r="AV13" s="1015"/>
      <c r="AW13" s="1015"/>
      <c r="AX13" s="1015"/>
      <c r="AY13" s="1015"/>
      <c r="AZ13" s="1015"/>
      <c r="BA13" s="1015"/>
      <c r="BB13" s="1015"/>
      <c r="BC13" s="958"/>
      <c r="BD13" s="1073"/>
      <c r="BE13" s="958"/>
      <c r="BF13" s="958"/>
      <c r="BG13" s="962"/>
      <c r="BH13" s="953"/>
      <c r="BI13" s="963"/>
      <c r="BJ13" s="1101"/>
      <c r="BK13" s="964"/>
      <c r="BL13" s="964"/>
      <c r="BM13" s="964"/>
      <c r="BN13" s="964"/>
      <c r="BO13" s="964"/>
      <c r="BP13" s="964"/>
      <c r="BQ13" s="964"/>
      <c r="BR13" s="964"/>
      <c r="BS13" s="964"/>
      <c r="BT13" s="964"/>
      <c r="BU13" s="964"/>
      <c r="BV13" s="964"/>
      <c r="BW13" s="964"/>
      <c r="BX13" s="964"/>
      <c r="BY13" s="627"/>
      <c r="BZ13" s="954"/>
      <c r="CA13" s="953"/>
      <c r="CB13" s="1102"/>
      <c r="CC13" s="953"/>
      <c r="CD13" s="953"/>
    </row>
    <row r="14" spans="3:82" s="623" customFormat="1" ht="12.75" customHeight="1">
      <c r="C14" s="1043"/>
      <c r="D14" s="1044"/>
      <c r="E14" s="964"/>
      <c r="F14" s="964"/>
      <c r="G14" s="964"/>
      <c r="H14" s="964"/>
      <c r="I14" s="964"/>
      <c r="J14" s="1010"/>
      <c r="K14" s="964"/>
      <c r="L14" s="964"/>
      <c r="M14" s="958"/>
      <c r="N14" s="958"/>
      <c r="O14" s="958"/>
      <c r="P14" s="958"/>
      <c r="Q14" s="962"/>
      <c r="R14" s="953"/>
      <c r="S14" s="963"/>
      <c r="T14" s="974"/>
      <c r="U14" s="1066"/>
      <c r="V14" s="964"/>
      <c r="W14" s="964"/>
      <c r="X14" s="964"/>
      <c r="Y14" s="964"/>
      <c r="Z14" s="964"/>
      <c r="AA14" s="964"/>
      <c r="AB14" s="964"/>
      <c r="AC14" s="964"/>
      <c r="AD14" s="964"/>
      <c r="AE14" s="964"/>
      <c r="AF14" s="964"/>
      <c r="AG14" s="629"/>
      <c r="AH14" s="954"/>
      <c r="AI14" s="956"/>
      <c r="AJ14" s="953"/>
      <c r="AK14" s="953"/>
      <c r="AL14" s="953"/>
      <c r="AM14" s="630"/>
      <c r="AN14" s="953"/>
      <c r="AO14" s="966"/>
      <c r="AP14" s="966"/>
      <c r="AQ14" s="632"/>
      <c r="AS14" s="1084"/>
      <c r="AT14" s="1085"/>
      <c r="AU14" s="1015"/>
      <c r="AV14" s="1015"/>
      <c r="AW14" s="1015"/>
      <c r="AX14" s="1015"/>
      <c r="AY14" s="1015"/>
      <c r="AZ14" s="1015"/>
      <c r="BA14" s="1015"/>
      <c r="BB14" s="1015"/>
      <c r="BC14" s="958"/>
      <c r="BD14" s="1073"/>
      <c r="BE14" s="958"/>
      <c r="BF14" s="958"/>
      <c r="BG14" s="962"/>
      <c r="BH14" s="953"/>
      <c r="BI14" s="963"/>
      <c r="BJ14" s="1101"/>
      <c r="BK14" s="964"/>
      <c r="BL14" s="964"/>
      <c r="BM14" s="964"/>
      <c r="BN14" s="964"/>
      <c r="BO14" s="964"/>
      <c r="BP14" s="964"/>
      <c r="BQ14" s="964"/>
      <c r="BR14" s="964"/>
      <c r="BS14" s="964"/>
      <c r="BT14" s="964"/>
      <c r="BU14" s="964"/>
      <c r="BV14" s="964"/>
      <c r="BW14" s="964"/>
      <c r="BX14" s="964"/>
      <c r="BY14" s="627"/>
      <c r="BZ14" s="954"/>
      <c r="CA14" s="953"/>
      <c r="CB14" s="1102"/>
      <c r="CC14" s="953"/>
      <c r="CD14" s="953"/>
    </row>
    <row r="15" spans="3:82" s="623" customFormat="1" ht="24" customHeight="1">
      <c r="C15" s="1045"/>
      <c r="D15" s="1046"/>
      <c r="E15" s="965"/>
      <c r="F15" s="965"/>
      <c r="G15" s="965"/>
      <c r="H15" s="965"/>
      <c r="I15" s="965"/>
      <c r="J15" s="1010"/>
      <c r="K15" s="964"/>
      <c r="L15" s="964"/>
      <c r="M15" s="958"/>
      <c r="N15" s="958"/>
      <c r="O15" s="958"/>
      <c r="P15" s="958"/>
      <c r="Q15" s="962"/>
      <c r="R15" s="953"/>
      <c r="S15" s="963"/>
      <c r="T15" s="974"/>
      <c r="U15" s="1067"/>
      <c r="V15" s="965"/>
      <c r="W15" s="964"/>
      <c r="X15" s="965"/>
      <c r="Y15" s="965"/>
      <c r="Z15" s="965"/>
      <c r="AA15" s="965"/>
      <c r="AB15" s="965"/>
      <c r="AC15" s="965"/>
      <c r="AD15" s="965"/>
      <c r="AE15" s="965"/>
      <c r="AF15" s="965"/>
      <c r="AG15" s="629"/>
      <c r="AH15" s="954"/>
      <c r="AI15" s="956"/>
      <c r="AJ15" s="953"/>
      <c r="AK15" s="953"/>
      <c r="AL15" s="953"/>
      <c r="AM15" s="630"/>
      <c r="AN15" s="953"/>
      <c r="AO15" s="966"/>
      <c r="AP15" s="966"/>
      <c r="AQ15" s="632"/>
      <c r="AS15" s="1086"/>
      <c r="AT15" s="1087"/>
      <c r="AU15" s="967"/>
      <c r="AV15" s="967"/>
      <c r="AW15" s="967"/>
      <c r="AX15" s="967"/>
      <c r="AY15" s="967"/>
      <c r="AZ15" s="967"/>
      <c r="BA15" s="967"/>
      <c r="BB15" s="967"/>
      <c r="BC15" s="958"/>
      <c r="BD15" s="1073"/>
      <c r="BE15" s="958"/>
      <c r="BF15" s="958"/>
      <c r="BG15" s="962"/>
      <c r="BH15" s="953"/>
      <c r="BI15" s="963"/>
      <c r="BJ15" s="1101"/>
      <c r="BK15" s="965"/>
      <c r="BL15" s="965"/>
      <c r="BM15" s="964"/>
      <c r="BN15" s="965"/>
      <c r="BO15" s="965"/>
      <c r="BP15" s="965"/>
      <c r="BQ15" s="965"/>
      <c r="BR15" s="965"/>
      <c r="BS15" s="965"/>
      <c r="BT15" s="965"/>
      <c r="BU15" s="965"/>
      <c r="BV15" s="965"/>
      <c r="BW15" s="965"/>
      <c r="BX15" s="965"/>
      <c r="BY15" s="627"/>
      <c r="BZ15" s="954"/>
      <c r="CA15" s="953"/>
      <c r="CB15" s="1102"/>
      <c r="CC15" s="953"/>
      <c r="CD15" s="953"/>
    </row>
    <row r="16" spans="2:82" s="219" customFormat="1" ht="36" customHeight="1">
      <c r="B16" s="967" t="s">
        <v>413</v>
      </c>
      <c r="C16" s="1024" t="s">
        <v>416</v>
      </c>
      <c r="D16" s="967" t="s">
        <v>631</v>
      </c>
      <c r="E16" s="964" t="s">
        <v>419</v>
      </c>
      <c r="F16" s="964" t="s">
        <v>419</v>
      </c>
      <c r="G16" s="964" t="s">
        <v>419</v>
      </c>
      <c r="H16" s="964" t="s">
        <v>419</v>
      </c>
      <c r="I16" s="964" t="s">
        <v>419</v>
      </c>
      <c r="J16" s="967" t="s">
        <v>419</v>
      </c>
      <c r="K16" s="967" t="s">
        <v>419</v>
      </c>
      <c r="L16" s="967" t="s">
        <v>419</v>
      </c>
      <c r="M16" s="967" t="s">
        <v>632</v>
      </c>
      <c r="N16" s="967" t="s">
        <v>419</v>
      </c>
      <c r="O16" s="967" t="s">
        <v>419</v>
      </c>
      <c r="P16" s="1001" t="s">
        <v>419</v>
      </c>
      <c r="Q16" s="964" t="s">
        <v>419</v>
      </c>
      <c r="R16" s="967" t="s">
        <v>633</v>
      </c>
      <c r="S16" s="967" t="s">
        <v>634</v>
      </c>
      <c r="T16" s="975" t="s">
        <v>635</v>
      </c>
      <c r="U16" s="967" t="s">
        <v>419</v>
      </c>
      <c r="V16" s="967" t="s">
        <v>419</v>
      </c>
      <c r="W16" s="964"/>
      <c r="X16" s="967" t="s">
        <v>419</v>
      </c>
      <c r="Y16" s="967" t="s">
        <v>419</v>
      </c>
      <c r="Z16" s="967" t="s">
        <v>419</v>
      </c>
      <c r="AA16" s="967" t="s">
        <v>419</v>
      </c>
      <c r="AB16" s="967" t="s">
        <v>419</v>
      </c>
      <c r="AC16" s="967" t="s">
        <v>419</v>
      </c>
      <c r="AD16" s="967"/>
      <c r="AE16" s="967" t="s">
        <v>636</v>
      </c>
      <c r="AF16" s="967" t="s">
        <v>637</v>
      </c>
      <c r="AG16" s="628"/>
      <c r="AH16" s="954"/>
      <c r="AI16" s="956"/>
      <c r="AJ16" s="953"/>
      <c r="AK16" s="953"/>
      <c r="AL16" s="953"/>
      <c r="AM16" s="632"/>
      <c r="AN16" s="953"/>
      <c r="AO16" s="953"/>
      <c r="AP16" s="955"/>
      <c r="AQ16" s="632"/>
      <c r="AS16" s="1024" t="str">
        <f aca="true" t="shared" si="3" ref="AS16:BB16">C16</f>
        <v>(1) School name</v>
      </c>
      <c r="AT16" s="967" t="str">
        <f t="shared" si="3"/>
        <v>(2) DCSF Number</v>
      </c>
      <c r="AU16" s="965" t="str">
        <f t="shared" si="3"/>
        <v>£</v>
      </c>
      <c r="AV16" s="965" t="str">
        <f t="shared" si="3"/>
        <v>£</v>
      </c>
      <c r="AW16" s="965" t="str">
        <f t="shared" si="3"/>
        <v>£</v>
      </c>
      <c r="AX16" s="965" t="str">
        <f t="shared" si="3"/>
        <v>£</v>
      </c>
      <c r="AY16" s="965" t="str">
        <f t="shared" si="3"/>
        <v>£</v>
      </c>
      <c r="AZ16" s="965" t="str">
        <f t="shared" si="3"/>
        <v>£</v>
      </c>
      <c r="BA16" s="965" t="str">
        <f t="shared" si="3"/>
        <v>£</v>
      </c>
      <c r="BB16" s="965" t="str">
        <f t="shared" si="3"/>
        <v>£</v>
      </c>
      <c r="BC16" s="964" t="s">
        <v>632</v>
      </c>
      <c r="BD16" s="964" t="s">
        <v>419</v>
      </c>
      <c r="BE16" s="964" t="s">
        <v>419</v>
      </c>
      <c r="BF16" s="1016" t="s">
        <v>419</v>
      </c>
      <c r="BG16" s="965" t="str">
        <f>Q16</f>
        <v>£</v>
      </c>
      <c r="BH16" s="1015" t="str">
        <f>R16</f>
        <v>(16)                        January 2010 Pupil Count (FTE registered pupils)</v>
      </c>
      <c r="BI16" s="1015" t="str">
        <f>S16</f>
        <v>(17)
£ per pupil</v>
      </c>
      <c r="BJ16" s="1017">
        <f>IF(COUNTIF(BJ20:BJ114,"Warning 2.6")&gt;0,"Warning 2.6","")</f>
      </c>
      <c r="BK16" s="1015" t="str">
        <f>U16</f>
        <v>£</v>
      </c>
      <c r="BL16" s="1015" t="str">
        <f>V16</f>
        <v>£</v>
      </c>
      <c r="BM16" s="964"/>
      <c r="BN16" s="1015" t="str">
        <f aca="true" t="shared" si="4" ref="BN16:BV16">X16</f>
        <v>£</v>
      </c>
      <c r="BO16" s="1015" t="str">
        <f t="shared" si="4"/>
        <v>£</v>
      </c>
      <c r="BP16" s="1015" t="str">
        <f t="shared" si="4"/>
        <v>£</v>
      </c>
      <c r="BQ16" s="1015" t="str">
        <f t="shared" si="4"/>
        <v>£</v>
      </c>
      <c r="BR16" s="1015" t="str">
        <f t="shared" si="4"/>
        <v>£</v>
      </c>
      <c r="BS16" s="1015" t="str">
        <f t="shared" si="4"/>
        <v>£</v>
      </c>
      <c r="BT16" s="1015">
        <f t="shared" si="4"/>
        <v>0</v>
      </c>
      <c r="BU16" s="1015" t="str">
        <f t="shared" si="4"/>
        <v>C OR O</v>
      </c>
      <c r="BV16" s="1015" t="str">
        <f t="shared" si="4"/>
        <v>dd mmm yy</v>
      </c>
      <c r="BX16" s="1099" t="s">
        <v>638</v>
      </c>
      <c r="BY16" s="635"/>
      <c r="BZ16" s="954"/>
      <c r="CA16" s="953"/>
      <c r="CB16" s="953"/>
      <c r="CC16" s="631"/>
      <c r="CD16" s="631"/>
    </row>
    <row r="17" spans="2:82" s="219" customFormat="1" ht="33.75" customHeight="1">
      <c r="B17" s="965"/>
      <c r="C17" s="1025"/>
      <c r="D17" s="965"/>
      <c r="E17" s="965"/>
      <c r="F17" s="965"/>
      <c r="G17" s="965"/>
      <c r="H17" s="965"/>
      <c r="I17" s="965"/>
      <c r="J17" s="965"/>
      <c r="K17" s="965"/>
      <c r="L17" s="965"/>
      <c r="M17" s="1002"/>
      <c r="N17" s="1002"/>
      <c r="O17" s="1002"/>
      <c r="P17" s="1002"/>
      <c r="Q17" s="965"/>
      <c r="R17" s="965"/>
      <c r="S17" s="965"/>
      <c r="T17" s="976"/>
      <c r="U17" s="965"/>
      <c r="V17" s="965"/>
      <c r="W17" s="964"/>
      <c r="X17" s="965"/>
      <c r="Y17" s="965"/>
      <c r="Z17" s="965"/>
      <c r="AA17" s="965"/>
      <c r="AB17" s="965"/>
      <c r="AC17" s="965"/>
      <c r="AD17" s="965"/>
      <c r="AE17" s="965"/>
      <c r="AF17" s="965"/>
      <c r="AG17" s="628"/>
      <c r="AH17" s="954"/>
      <c r="AI17" s="956"/>
      <c r="AJ17" s="953"/>
      <c r="AK17" s="953"/>
      <c r="AL17" s="953"/>
      <c r="AM17" s="633"/>
      <c r="AN17" s="953"/>
      <c r="AO17" s="953"/>
      <c r="AP17" s="955"/>
      <c r="AQ17" s="632"/>
      <c r="AS17" s="1025"/>
      <c r="AT17" s="965"/>
      <c r="AU17" s="1015"/>
      <c r="AV17" s="1015"/>
      <c r="AW17" s="1015"/>
      <c r="AX17" s="1015"/>
      <c r="AY17" s="1015"/>
      <c r="AZ17" s="1015"/>
      <c r="BA17" s="1015"/>
      <c r="BB17" s="1015"/>
      <c r="BC17" s="1002"/>
      <c r="BD17" s="1002"/>
      <c r="BE17" s="1002"/>
      <c r="BF17" s="1002"/>
      <c r="BG17" s="1015"/>
      <c r="BH17" s="1015"/>
      <c r="BI17" s="1015"/>
      <c r="BJ17" s="1018"/>
      <c r="BK17" s="1015"/>
      <c r="BL17" s="1015"/>
      <c r="BM17" s="964"/>
      <c r="BN17" s="1015"/>
      <c r="BO17" s="1015"/>
      <c r="BP17" s="1015"/>
      <c r="BQ17" s="1015"/>
      <c r="BR17" s="1015"/>
      <c r="BS17" s="1015"/>
      <c r="BT17" s="1015"/>
      <c r="BU17" s="1015"/>
      <c r="BV17" s="1015"/>
      <c r="BX17" s="1100"/>
      <c r="BY17" s="635"/>
      <c r="BZ17" s="954"/>
      <c r="CA17" s="954"/>
      <c r="CB17" s="954"/>
      <c r="CC17" s="631"/>
      <c r="CD17" s="631"/>
    </row>
    <row r="18" spans="1:82" ht="17.25" customHeight="1" hidden="1">
      <c r="A18" s="636"/>
      <c r="C18" s="637"/>
      <c r="D18" s="637"/>
      <c r="E18" s="639"/>
      <c r="F18" s="639"/>
      <c r="G18" s="639"/>
      <c r="H18" s="639"/>
      <c r="I18" s="639"/>
      <c r="J18" s="639"/>
      <c r="K18" s="639"/>
      <c r="L18" s="639"/>
      <c r="M18" s="639"/>
      <c r="N18" s="639"/>
      <c r="O18" s="639"/>
      <c r="P18" s="639"/>
      <c r="Q18" s="638"/>
      <c r="R18" s="638"/>
      <c r="S18" s="638"/>
      <c r="T18" s="638"/>
      <c r="U18" s="638"/>
      <c r="V18" s="638"/>
      <c r="W18" s="638"/>
      <c r="X18" s="638"/>
      <c r="Y18" s="638"/>
      <c r="Z18" s="638"/>
      <c r="AA18" s="638"/>
      <c r="AB18" s="638"/>
      <c r="AC18" s="638"/>
      <c r="AD18" s="638"/>
      <c r="AE18" s="638"/>
      <c r="AF18" s="638"/>
      <c r="AG18" s="638"/>
      <c r="AH18" s="640"/>
      <c r="AI18" s="641"/>
      <c r="AJ18" s="638"/>
      <c r="AK18" s="638"/>
      <c r="AL18" s="638"/>
      <c r="AM18" s="638"/>
      <c r="AN18" s="638"/>
      <c r="AO18" s="632"/>
      <c r="AQ18" s="642"/>
      <c r="AS18" s="643"/>
      <c r="AT18" s="643"/>
      <c r="AU18" s="639"/>
      <c r="AV18" s="639"/>
      <c r="AW18" s="639"/>
      <c r="AX18" s="639"/>
      <c r="AY18" s="639"/>
      <c r="AZ18" s="639"/>
      <c r="BA18" s="639"/>
      <c r="BB18" s="639"/>
      <c r="BC18" s="639"/>
      <c r="BD18" s="639"/>
      <c r="BE18" s="639"/>
      <c r="BF18" s="639"/>
      <c r="BG18" s="638"/>
      <c r="BH18" s="638"/>
      <c r="BI18" s="638"/>
      <c r="BJ18" s="638"/>
      <c r="BK18" s="638"/>
      <c r="BL18" s="638"/>
      <c r="BM18" s="638"/>
      <c r="BN18" s="638"/>
      <c r="BO18" s="638"/>
      <c r="BP18" s="638"/>
      <c r="BQ18" s="638"/>
      <c r="BR18" s="638"/>
      <c r="BS18" s="638"/>
      <c r="BT18" s="638"/>
      <c r="BU18" s="638"/>
      <c r="BV18" s="638"/>
      <c r="BZ18" s="633"/>
      <c r="CA18" s="628"/>
      <c r="CB18" s="628"/>
      <c r="CC18" s="631"/>
      <c r="CD18" s="631"/>
    </row>
    <row r="19" spans="1:82" ht="36.75" customHeight="1">
      <c r="A19" s="644" t="s">
        <v>497</v>
      </c>
      <c r="C19" s="726" t="s">
        <v>639</v>
      </c>
      <c r="D19" s="726"/>
      <c r="W19" s="52"/>
      <c r="AI19" s="118"/>
      <c r="AR19" s="39" t="str">
        <f>A19</f>
        <v>Place-Led or Pupil-Led Funding</v>
      </c>
      <c r="AS19" s="667" t="str">
        <f>C19</f>
        <v>Nursery Schools</v>
      </c>
      <c r="AT19" s="667"/>
      <c r="BT19" s="15"/>
      <c r="BZ19" s="633"/>
      <c r="CA19" s="628"/>
      <c r="CB19" s="628"/>
      <c r="CC19" s="631"/>
      <c r="CD19" s="631"/>
    </row>
    <row r="20" spans="1:111" ht="12.75">
      <c r="A20" s="645" t="str">
        <f>IF('Table 3a'!A21="","",'Table 3a'!A21)</f>
        <v>Pupil-Led</v>
      </c>
      <c r="B20" s="645"/>
      <c r="C20" s="645">
        <f>IF('Table 3a'!C21="","",'Table 3a'!C21)</f>
      </c>
      <c r="D20" s="645">
        <f>IF('Table 3a'!D21="","",'Table 3a'!D21)</f>
      </c>
      <c r="E20" s="646">
        <f>IF('Table 3a'!AC21="","",'Table 3a'!AC21)</f>
        <v>0</v>
      </c>
      <c r="F20" s="646">
        <f>IF('Table 3a'!AJ21="","",'Table 3a'!AJ21)</f>
        <v>0</v>
      </c>
      <c r="G20" s="647"/>
      <c r="H20" s="646">
        <f>IF('Table 3a'!AO21="","",'Table 3a'!AO21)</f>
        <v>0</v>
      </c>
      <c r="I20" s="646">
        <f>IF('Table 3a'!AU21="","",'Table 3a'!AU21)</f>
        <v>0</v>
      </c>
      <c r="J20" s="646">
        <f>IF('Table 3a'!AX21="","",'Table 3a'!AX21)</f>
        <v>0</v>
      </c>
      <c r="K20" s="646">
        <f>IF('Table 3a'!BC21="","",'Table 3a'!BC21)</f>
        <v>0</v>
      </c>
      <c r="L20" s="646">
        <f>IF('Table 3a'!BI21="","",'Table 3a'!BI21)</f>
        <v>0</v>
      </c>
      <c r="M20" s="646">
        <f>IF('Table 3a'!BN21="","",'Table 3a'!BN21)</f>
        <v>0</v>
      </c>
      <c r="N20" s="646">
        <f>IF('Table 3a'!BT21="","",'Table 3a'!BT21)</f>
        <v>0</v>
      </c>
      <c r="O20" s="646">
        <f>IF('Table 3a'!BW21="","",'Table 3a'!BW21)</f>
        <v>0</v>
      </c>
      <c r="P20" s="646">
        <f>IF('Table 3a'!BX21="","",'Table 3a'!BX21)</f>
      </c>
      <c r="Q20" s="646">
        <f>SUM(E20,F20,G20,H20,I20,J20,K20,L20,M20,N20,O20,P20)</f>
        <v>0</v>
      </c>
      <c r="R20" s="646">
        <f>IF('Table 3a'!AB21="","",'Table 3a'!AB21)</f>
        <v>0</v>
      </c>
      <c r="S20" s="646">
        <f>IF(R20=0,0,IF(ISERROR(Q20/R20),0,Q20/R20))</f>
        <v>0</v>
      </c>
      <c r="T20" s="648"/>
      <c r="U20" s="649"/>
      <c r="V20" s="650"/>
      <c r="W20" s="651"/>
      <c r="X20" s="649"/>
      <c r="Y20" s="649"/>
      <c r="Z20" s="649"/>
      <c r="AA20" s="649"/>
      <c r="AB20" s="649"/>
      <c r="AC20" s="649"/>
      <c r="AD20" s="647"/>
      <c r="AE20" s="652"/>
      <c r="AF20" s="653"/>
      <c r="AG20" s="654"/>
      <c r="AH20" s="655"/>
      <c r="AI20" s="656"/>
      <c r="AJ20" s="657"/>
      <c r="AK20" s="658"/>
      <c r="AL20" s="658"/>
      <c r="AM20" s="658"/>
      <c r="AN20" s="657"/>
      <c r="AO20" s="658"/>
      <c r="AP20" s="658"/>
      <c r="AQ20" s="658"/>
      <c r="AR20" s="659">
        <f>IF(AND(OR(A20="",A20=0),C20="",D20=""),"",IF(AND(OR(C20&lt;&gt;"",D20&lt;&gt;""),A20=""),"Error 1.1",IF(AND(A20&lt;&gt;"",A20&lt;&gt;'Table 3a'!A21),"Error 4.10.1","")))</f>
      </c>
      <c r="AS20" s="660">
        <f>IF(OR(OR(AND(C20="",D20&lt;&gt;""),AND(C20&lt;&gt;"",D20="")),AND(OR(SUM(Q20)&lt;&gt;0,SUM(R20)&lt;&gt;0,AND(U20&lt;&gt;"",U20&lt;&gt;0),AND(V20&lt;&gt;"",V20&lt;&gt;0),AND(W20&lt;&gt;"",W20&lt;&gt;0),AND(X20&lt;&gt;"",X20&lt;&gt;0),AND(Y20&lt;&gt;"",Y20&lt;&gt;0),AND(Z20&lt;&gt;"",Z20&lt;&gt;0),AND(AA20&lt;&gt;"",AA20&lt;&gt;0),AND(AB20&lt;&gt;"",AB20&lt;&gt;0),AND(AC20&lt;&gt;"",AC20&lt;&gt;0),AND(AD20&lt;&gt;"",AD20&lt;&gt;0),AE20&lt;&gt;"",AF20&lt;&gt;""),OR(C20="",D20=""))),"Error 2.11",IF(LEFT(C20,11)="Situated at","Error 2.12",""))</f>
      </c>
      <c r="AT20" s="660">
        <f>IF(OR(OR(AND(C20="",D20&lt;&gt;""),AND(C20&lt;&gt;"",D20="")),AND(OR(SUM(Q20)&lt;&gt;0,SUM(R20)&lt;&gt;0,AND(U20&lt;&gt;"",U20&lt;&gt;0),AND(V20&lt;&gt;"",V20&lt;&gt;0),AND(W20&lt;&gt;"",W20&lt;&gt;0),AND(X20&lt;&gt;"",X20&lt;&gt;0),AND(Y20&lt;&gt;"",Y20&lt;&gt;0),AND(Z20&lt;&gt;"",Z20&lt;&gt;0),AND(AA20&lt;&gt;"",AA20&lt;&gt;0),AND(AB20&lt;&gt;"",AB20&lt;&gt;0),AND(AC20&lt;&gt;"",AC20&lt;&gt;0),AND(AD20&lt;&gt;"",AD20&lt;&gt;0),AE20&lt;&gt;"",AF20&lt;&gt;""),OR(C20="",D20=""))),"Error 2.11",IF(AND(C20&lt;&gt;"",ISNUMBER(D20)=FALSE),"Error 1.2",IF(AND(C20&lt;&gt;"",'Table 3a'!D21-INT('Table 3a'!D21)&lt;&gt;0),"Error 2.1",IF(AND(C20&lt;&gt;"",OR(D20&lt;1000,AND(D20&gt;1099,D20&lt;1800),D20&gt;1899)),"Error 2.2",IF(AND(C20&lt;&gt;"",COUNTIF(startdfes:enddfes,D20)&gt;1),"Warning 1.2","")))))</f>
      </c>
      <c r="AU20" s="660">
        <f>IF(AND(OR(E20="",E20=0),C20="",D20=""),"",IF(AND(OR(C20&lt;&gt;"",D20&lt;&gt;""),E20=""),"Error 4.10.2",IF(AND(E20&lt;&gt;"",ISNUMBER(E20)=FALSE),"Error 1.2",IF(E20&lt;=0,"Error 1.4",IF('Table 3a'!AC21&lt;&gt;'Table 3a'!CA21,"Warning 2.7","")))))</f>
      </c>
      <c r="AV20" s="660">
        <f>IF(AND(OR(F20="",F20=0),C20="",D20=""),"",IF(AND(OR(C20&lt;&gt;"",D20&lt;&gt;""),F20=""),"Error 4.10.2",IF(AND(F20&lt;&gt;"",ISNUMBER(F20)=FALSE),"Error 1.2",IF(F20&lt;0,"Error 1.3",""))))</f>
      </c>
      <c r="AW20" s="661"/>
      <c r="AX20" s="660">
        <f>IF(AND(OR(H20="",H20=0),C20="",D20=""),"",IF(AND(OR(C20&lt;&gt;"",D20&lt;&gt;""),H20=""),"Error 4.10.2",IF(AND(H20&lt;&gt;"",ISNUMBER(H20)=FALSE),"Error 1.2",IF(H20&lt;0,"Error 1.3",""))))</f>
      </c>
      <c r="AY20" s="660">
        <f>IF(AND(OR(I20="",I20=0),C20="",D20=""),"",IF(AND(OR(C20&lt;&gt;"",D20&lt;&gt;""),I20=""),"Error 4.10.2",IF(AND(I20&lt;&gt;"",ISNUMBER(I20)=FALSE),"Error 1.2",IF(I20=0,"Warning 2.4",IF(I20&lt;0,"Error 1.3","")))))</f>
      </c>
      <c r="AZ20" s="660">
        <f>IF(AND(OR(J20="",J20=0),C20="",D20=""),"",IF(AND(OR(C20&lt;&gt;"",D20&lt;&gt;""),J20=""),"Error 4.10.2",IF(AND(J20&lt;&gt;"",ISNUMBER(J20)=FALSE),"Error 1.2",IF(J20&lt;0,"Error 1.3",""))))</f>
      </c>
      <c r="BA20" s="660">
        <f>IF(AND(OR(K20="",K20=0),C20="",D20=""),"",IF(AND(OR(C20&lt;&gt;"",D20&lt;&gt;""),K20=""),"Error 4.10.2",IF(AND(K20&lt;&gt;"",ISNUMBER(K20)=FALSE),"Error 1.2",IF(K20&lt;0,"Error 1.3",""))))</f>
      </c>
      <c r="BB20" s="660">
        <f>IF(AND(OR(L20="",L20=0),C20="",D20=""),"",IF(AND(OR(C20&lt;&gt;"",D20&lt;&gt;""),L20=""),"Error 4.10.2",IF(AND(L20&lt;&gt;"",ISNUMBER(L20)=FALSE),"Error 1.2",IF(L20&lt;0,"Error 1.3",""))))</f>
      </c>
      <c r="BC20" s="660">
        <f>IF(AND(OR(M20="",M20=0),C20="",D20=""),"",IF(AND(OR(C20&lt;&gt;"",D20&lt;&gt;""),M20=""),"Error 4.10.2",IF(AND(M20&lt;&gt;"",ISNUMBER(M20)=FALSE),"Error 1.2",IF(M20&lt;0,"Error 1.3",""))))</f>
      </c>
      <c r="BD20" s="660">
        <f>IF(AND(OR(N20="",N20=0),C20="",D20=""),"",IF(AND(OR(C20&lt;&gt;"",D20&lt;&gt;""),N20=""),"Error 4.10.2",IF(AND(N20&lt;&gt;"",ISNUMBER(N20)=FALSE),"Error 1.2",IF(N20&lt;0,"Error 1.3",""))))</f>
      </c>
      <c r="BE20" s="660">
        <f>IF(AND(OR(O20="",O20=0),C20="",D20=""),"",IF(AND(OR(C20&lt;&gt;"",D20&lt;&gt;""),O20=""),"Error 4.10.2",IF(AND(O20&lt;&gt;"",ISNUMBER(O20)=FALSE),"Error 1.2","")))</f>
      </c>
      <c r="BF20" s="660">
        <f>IF(AND(OR(P20="",P20=0),C20="",D20=""),"",IF(AND(OR(C20&lt;&gt;"",D20&lt;&gt;""),P20=""),"Error 4.10.2",IF(AND(P20&lt;&gt;"",ISNUMBER(P20)=FALSE),"Error 1.2",IF(P20&lt;0,"Error 1.3",""))))</f>
      </c>
      <c r="BG20" s="660">
        <f>IF(AND(OR(Q20="",Q20=0),C20="",D20=""),"",IF(AND(OR(C20&lt;&gt;"",D20&lt;&gt;""),Q20=""),"Error 4.10.2",IF(AND(Q20&lt;&gt;"",ISNUMBER(Q20)=FALSE),"Error 1.2",IF(AND(OR(Q20&lt;10000,Q20&gt;10000000)),"Error 3.2.1",IF(ABS(('Table 3a'!BY21*2)-'Table 3a'!BZ21)&gt;50,"Error 3.7","")))))</f>
      </c>
      <c r="BH20" s="660">
        <f>IF(AND(OR(R20="",R20=0),C20="",D20=""),"",IF(AND(OR(C20&lt;&gt;"",D20&lt;&gt;""),R20=""),"Error 4.10.2",IF(AND(R20&lt;&gt;"",ISNUMBER(R20)=FALSE),"Error 1.2",IF(OR(R20&lt;1,R20&gt;2999),"Error 2.6",""))))</f>
      </c>
      <c r="BI20" s="660">
        <f>IF(AND(OR(S20="",S20=0),C20="",D20=""),"",IF(AND(OR(C20&lt;&gt;"",D20&lt;&gt;""),S20=""),"Error 4.10.2",IF(AND(S20&lt;&gt;"",ISNUMBER(S20)=FALSE),"Error 1.2",IF(S20&lt;=0,"Error 1.4",""))))</f>
      </c>
      <c r="BJ20" s="660">
        <f>IF(AND(T20="",C20="",D20=""),"",IF(AND(T20="",$H$1&lt;&gt;"*"),"",IF(AND(OR(C20&lt;&gt;"",D20&lt;&gt;""),AND(T20="",$H$1="*")),"Error 1.1",IF(AND(OR(C20&lt;&gt;"",D20&lt;&gt;""),AND(T20="",$H$1="*")),"Error 1.1",IF(AND(AND(T20&lt;&gt;"School Forum",T20&lt;&gt;"Secretary Of State",T20&lt;&gt;"No Variation Applied"),OR(C20&lt;&gt;"",D20&lt;&gt;"")),"Error 3.9",IF(AND(OR(T20="School Forum",T20="Secretary Of State"),($DG$187="NO")),"Warning 2.6",""))))))</f>
      </c>
      <c r="BK20" s="660">
        <f>IF(AND(U20="",C20="",D20=""),"",IF(AND(U20="",$H$1&lt;&gt;"*"),"",IF(AND(OR(C20&lt;&gt;"",D20&lt;&gt;""),AND(U20="",$H$1="*")),"Error 1.1",IF(AND(U20&lt;&gt;"",ISNUMBER(U20)=FALSE),"Error 1.2",IF(U20&lt;0,"Error 1.3",IF(U20&gt;=500000,"Error 3.4.1",""))))))</f>
      </c>
      <c r="BL20" s="662"/>
      <c r="BM20" s="663"/>
      <c r="BN20" s="660">
        <f>IF(AND(X20="",C20="",D20=""),"",IF(AND(X20="",$H$1&lt;&gt;"*"),"",IF(AND(OR(C20&lt;&gt;"",D20&lt;&gt;""),AND(X20="",$H$1="*")),"Error 1.1",IF(AND(X20&lt;&gt;"",ISNUMBER(X20)=FALSE),"Error 1.2",IF(X20&lt;0,"Error 1.3",IF(X20&gt;=1000000,"Error 3.4.3",""))))))</f>
      </c>
      <c r="BO20" s="660">
        <f>IF(AND(Y20="",C20="",D20=""),"",IF(AND(Y20="",$H$1&lt;&gt;"*"),"",IF(AND(OR(C20&lt;&gt;"",D20&lt;&gt;""),AND(Y20="",$H$1="*")),"Error 1.1",IF(AND(Y20&lt;&gt;"",ISNUMBER(Y20)=FALSE),"Error 1.2",IF(Y20&lt;0,"Error 1.3",IF(Y20&gt;=1000000,"Error 3.4.3",""))))))</f>
      </c>
      <c r="BP20" s="660">
        <f>IF(AND(Z20="",C20="",D20=""),"",IF(AND(Z20="",$H$1&lt;&gt;"*"),"",IF(AND(OR(C20&lt;&gt;"",D20&lt;&gt;""),AND(Z20="",$H$1="*")),"Error 1.1",IF(AND(Z20&lt;&gt;"",ISNUMBER(Z20)=FALSE),"Error 1.2",IF(Z20&lt;0,"Error 1.3",IF(Z20&gt;=500000,"Error 3.4.4",""))))))</f>
      </c>
      <c r="BQ20" s="660">
        <f>IF(AND(AA20="",C20="",D20=""),"",IF(AND(AA20="",$H$1&lt;&gt;"*"),"",IF(AND(OR(C20&lt;&gt;"",D20&lt;&gt;""),AND(AA20="",$H$1="*")),"Error 1.1",IF(AND(AA20&lt;&gt;"",ISNUMBER(AA20)=FALSE),"Error 1.2",IF(AA20&lt;0,"Error 1.3",IF(AA20&gt;=500000,"Error 3.4.5",""))))))</f>
      </c>
      <c r="BR20" s="660">
        <f>IF(AND(AB20="",C20="",D20=""),"",IF(AND(AB20="",$H$1&lt;&gt;"*"),"",IF(AND(OR(C20&lt;&gt;"",D20&lt;&gt;""),AND(AB20="",$H$1="*")),"Error 1.1",IF(AND(AB20&lt;&gt;"",ISNUMBER(AB20)=FALSE),"Error 1.2",IF(AB20&lt;0,"Error 1.3",IF(AB20&gt;=500000,"Error 3.4.6",""))))))</f>
      </c>
      <c r="BS20" s="660">
        <f>IF(AND(AC20="",C20="",D20=""),"",IF(AND(AC20="",$H$1&lt;&gt;"*"),"",IF(AND(OR(C20&lt;&gt;"",D20&lt;&gt;""),AND(AC20="",$H$1="*")),"Error 1.1",IF(AND(AC20&lt;&gt;"",ISNUMBER(AC20)=FALSE),"Error 1.2",IF(AC20&lt;=0,"Error 1.4",IF(BX20&lt;&gt;"",BX20,""))))))</f>
      </c>
      <c r="BT20" s="662"/>
      <c r="BU20" s="660">
        <f>IF(AND(AE20&lt;&gt;"",UPPER(AE20)&lt;&gt;"C",UPPER(AE20)&lt;&gt;"O"),"Error 2.8","")</f>
      </c>
      <c r="BV20" s="660">
        <f>IF(AND(AE20="",AF20=""),"",IF(AND(AE20&lt;&gt;"",AF20=""),"Error 2.9.1",IF(AND(AE20="",AF20&lt;&gt;""),"Error 2.9.1",IF(ISNUMBER(AF20)&lt;&gt;TRUE,"Error 2.9.1",IF(AND(AE20&lt;&gt;"",R20&gt;0,(OR(AF20&lt;DATE(2010,4,1),AF20&gt;DATE(2011,3,31)))),"Error 2.10.2","")))))</f>
      </c>
      <c r="BW20" s="605">
        <f>IF(LEN(TRIM(AR20&amp;AS20&amp;AT20&amp;AU20&amp;AV20&amp;AW20&amp;AX20&amp;AY20&amp;AZ20&amp;BA20&amp;BB20&amp;BC20&amp;BD20&amp;BE20&amp;BF20&amp;BG20&amp;BH20&amp;BI20&amp;BJ20&amp;BK20&amp;BL20&amp;BM20&amp;BN20&amp;BO20&amp;BP20&amp;BQ20&amp;BR20&amp;BS20&amp;BU20&amp;BV20))&gt;0,1,0)</f>
        <v>0</v>
      </c>
      <c r="BX20" s="659">
        <f>IF(AND(AC20&lt;&gt;"",AC20&gt;=Q20),"Error 3.3.1",IF(AND(AC20&lt;&gt;"",AC20&lt;SUM(I20,J20)),"Error 3.3.2",""))</f>
      </c>
      <c r="BY20" s="664"/>
      <c r="BZ20" s="664"/>
      <c r="CA20" s="665"/>
      <c r="CB20" s="665"/>
      <c r="CC20" s="666"/>
      <c r="CJ20" s="668"/>
      <c r="DG20" s="3">
        <f>IF(LEFT(BJ20,1)="W",1,0)</f>
        <v>0</v>
      </c>
    </row>
    <row r="21" spans="23:111" ht="13.5" thickBot="1">
      <c r="W21" s="52"/>
      <c r="AI21" s="118"/>
      <c r="AW21" s="6"/>
      <c r="BJ21" s="669"/>
      <c r="BM21" s="154"/>
      <c r="BT21" s="15"/>
      <c r="BV21" s="669"/>
      <c r="CA21" s="665"/>
      <c r="CB21" s="665"/>
      <c r="CC21" s="666"/>
      <c r="DG21" s="3">
        <f>IF(LEFT(BJ22,1)="W",1,0)</f>
        <v>0</v>
      </c>
    </row>
    <row r="22" spans="3:111" ht="14.25" thickBot="1" thickTop="1">
      <c r="C22" s="985" t="s">
        <v>640</v>
      </c>
      <c r="D22" s="985"/>
      <c r="E22" s="671">
        <f>SUM(E20:E21)</f>
        <v>0</v>
      </c>
      <c r="F22" s="671">
        <f>SUM(F20:F21)</f>
        <v>0</v>
      </c>
      <c r="G22" s="672"/>
      <c r="H22" s="671">
        <f aca="true" t="shared" si="5" ref="H22:R22">SUM(H20:H21)</f>
        <v>0</v>
      </c>
      <c r="I22" s="671">
        <f t="shared" si="5"/>
        <v>0</v>
      </c>
      <c r="J22" s="671">
        <f t="shared" si="5"/>
        <v>0</v>
      </c>
      <c r="K22" s="671">
        <f t="shared" si="5"/>
        <v>0</v>
      </c>
      <c r="L22" s="671">
        <f t="shared" si="5"/>
        <v>0</v>
      </c>
      <c r="M22" s="671">
        <f t="shared" si="5"/>
        <v>0</v>
      </c>
      <c r="N22" s="671">
        <f t="shared" si="5"/>
        <v>0</v>
      </c>
      <c r="O22" s="671">
        <f t="shared" si="5"/>
        <v>0</v>
      </c>
      <c r="P22" s="671">
        <f t="shared" si="5"/>
        <v>0</v>
      </c>
      <c r="Q22" s="671">
        <f t="shared" si="5"/>
        <v>0</v>
      </c>
      <c r="R22" s="671">
        <f t="shared" si="5"/>
        <v>0</v>
      </c>
      <c r="S22" s="671">
        <f>IF(R22=0,0,IF(ISERROR(Q22/R22),0,Q22/R22))</f>
        <v>0</v>
      </c>
      <c r="T22" s="673"/>
      <c r="U22" s="671">
        <f>SUM(U20:U21)</f>
        <v>0</v>
      </c>
      <c r="V22" s="674"/>
      <c r="W22" s="673"/>
      <c r="X22" s="671">
        <f aca="true" t="shared" si="6" ref="X22:AC22">SUM(X20:X21)</f>
        <v>0</v>
      </c>
      <c r="Y22" s="671">
        <f t="shared" si="6"/>
        <v>0</v>
      </c>
      <c r="Z22" s="671">
        <f t="shared" si="6"/>
        <v>0</v>
      </c>
      <c r="AA22" s="671">
        <f t="shared" si="6"/>
        <v>0</v>
      </c>
      <c r="AB22" s="671">
        <f t="shared" si="6"/>
        <v>0</v>
      </c>
      <c r="AC22" s="671">
        <f t="shared" si="6"/>
        <v>0</v>
      </c>
      <c r="AD22" s="672"/>
      <c r="AE22" s="675"/>
      <c r="AF22" s="675"/>
      <c r="AG22" s="675"/>
      <c r="AH22" s="676"/>
      <c r="AI22" s="656"/>
      <c r="AJ22" s="675"/>
      <c r="AK22" s="675"/>
      <c r="AL22" s="675"/>
      <c r="AM22" s="675"/>
      <c r="AN22" s="675"/>
      <c r="AO22" s="675"/>
      <c r="AS22" s="1033" t="str">
        <f>C22</f>
        <v>(31) Total/average Nursery Schools</v>
      </c>
      <c r="AT22" s="1033"/>
      <c r="AU22" s="677">
        <f>IF(ROUND(E22,5)=ROUND('Table 3a'!AC23,5),'Table 3a'!AC23,"Error 4.10.3")</f>
        <v>0</v>
      </c>
      <c r="AV22" s="677">
        <f>IF(ROUND(F22,5)=ROUND('Table 3a'!AJ23,5),'Table 3a'!AJ23,"Error 4.10.3")</f>
        <v>0</v>
      </c>
      <c r="AW22" s="661"/>
      <c r="AX22" s="677">
        <f>IF(ROUND(H22,5)=ROUND('Table 3a'!AO23,5),'Table 3a'!AO23,"Error 4.10.3")</f>
        <v>0</v>
      </c>
      <c r="AY22" s="677">
        <f>IF(ROUND(I22,5)=ROUND('Table 3a'!AU23,5),'Table 3a'!AU23,"Error 4.10.3")</f>
        <v>0</v>
      </c>
      <c r="AZ22" s="677">
        <f>IF(ROUND(J22,5)=ROUND('Table 3a'!AX23,5),'Table 3a'!AX23,"Error 4.10.3")</f>
        <v>0</v>
      </c>
      <c r="BA22" s="677">
        <f>IF(ROUND(K22,5)=ROUND('Table 3a'!BC23,5),'Table 3a'!BC23,"Error 4.10.3")</f>
        <v>0</v>
      </c>
      <c r="BB22" s="677">
        <f>IF(ROUND(L22,5)=ROUND('Table 3a'!BI23,5),'Table 3a'!BI23,"Error 4.10.3")</f>
        <v>0</v>
      </c>
      <c r="BC22" s="677">
        <f>IF(ROUND(M22,5)=ROUND('Table 3a'!BN23,5),'Table 3a'!BN23,"Error 4.10.3")</f>
        <v>0</v>
      </c>
      <c r="BD22" s="677">
        <f>IF(ROUND(N22,5)=ROUND('Table 3a'!BT23,5),'Table 3a'!BT23,"Error 4.10.3")</f>
        <v>0</v>
      </c>
      <c r="BE22" s="677">
        <f>IF(ROUND(O22,5)=ROUND('Table 3a'!BW23,5),'Table 3a'!BW23,"Error 4.10.3")</f>
        <v>0</v>
      </c>
      <c r="BF22" s="677">
        <f>IF(ROUND(P22,5)=ROUND('Table 3a'!BX23,5),'Table 3a'!BX23,"Error 4.10.3")</f>
        <v>0</v>
      </c>
      <c r="BG22" s="677">
        <f>IF(ROUND(Q22,5)=ROUND('Table 3a'!BY23,5),'Table 3a'!BY23,"Error 4.10.3")</f>
        <v>0</v>
      </c>
      <c r="BH22" s="677">
        <f>IF(ROUND(R22,5)=ROUND('Table 3a'!AB23,5),'Table 3a'!AB23,"Error 4.10.3")</f>
        <v>0</v>
      </c>
      <c r="BI22" s="678"/>
      <c r="BJ22" s="664"/>
      <c r="BK22" s="660">
        <f>IF(AND(U22="",$H$1&lt;&gt;"*"),"",IF(AND(U22="",$H$1="*"),"Error 1.1",IF(ISNUMBER(U22)=FALSE,"Error 1.2",IF(ABS(U22-'Table 1'!G13)&gt;1000,"Error 4.2.1",""))))</f>
      </c>
      <c r="BL22" s="662"/>
      <c r="BM22" s="663"/>
      <c r="BN22" s="660">
        <f>IF(AND(X22="",$H$1&lt;&gt;"*"),"",IF(AND(X22="",$H$1="*"),"Error 1.1",IF(ISNUMBER(X22)=FALSE,"Error 1.2",IF(ABS(X22+Y22)&gt;('Table 1'!G17+1000),"Error 4.4.1",""))))</f>
      </c>
      <c r="BO22" s="660">
        <f>IF(AND(Y22="",$H$1&lt;&gt;"*"),"",IF(AND(Y22="",$H$1="*"),"Error 1.1",IF(ISNUMBER(Y22)=FALSE,"Error 1.2",IF(ABS(X22+Y22)&gt;('Table 1'!G17+1000),"Error 4.4.1",""))))</f>
      </c>
      <c r="BP22" s="660">
        <f>IF(AND(Z22="",$H$1&lt;&gt;"*"),"",IF(AND(Z22="",$H$1="*"),"Error 1.1",IF(ISNUMBER(Z22)=FALSE,"Error 1.2",IF(ABS(Z22)&gt;('Table 1'!G18+1000),"Error 4.5.1",""))))</f>
      </c>
      <c r="BQ22" s="660">
        <f>IF(AND(AA22="",$H$1&lt;&gt;"*"),"",IF(AND(AA22="",$H$1="*"),"Error 1.1",IF(ISNUMBER(AA22)=FALSE,"Error 1.2",IF(ABS(AA22)&gt;('Table 1'!G19+1000),"Error 4.12.1",""))))</f>
      </c>
      <c r="BR22" s="660">
        <f>IF(AND(AB22="",$H$1&lt;&gt;"*"),"",IF(AND(AB22="",$H$1="*"),"Error 1.1",IF(ISNUMBER(AB22)=FALSE,"Error 1.2",IF(ABS(AB22)&gt;('Table 1'!G22+1000),"Error  4.12",""))))</f>
      </c>
      <c r="BS22" s="256"/>
      <c r="BT22" s="256"/>
      <c r="BV22" s="664"/>
      <c r="BW22" s="679">
        <f>IF(OR(LEFT(AU22,1)="E",LEFT(AV22,1)="E",LEFT(AW22,1)="E",LEFT(AX22,1)="E",LEFT(AY22,1)="E",LEFT(AZ22,1)="E",LEFT(BA22,1)="E",LEFT(BB22,1)="E",LEFT(BE22,1)="E",LEFT(BG22,1)="E",LEFT(BH22,1)="E",LEFT(BK22,1)="E",LEFT(BM22,1)="E",LEFT(BN22,1)="E",LEFT(BO22,1)="E",LEFT(BQ22,1)="E",LEFT(BR22,1)="E"),1,0)</f>
        <v>0</v>
      </c>
      <c r="CA22" s="665"/>
      <c r="CB22" s="665"/>
      <c r="CC22" s="666"/>
      <c r="DG22" s="3">
        <f>IF(LEFT(BJ23,1)="W",1,0)</f>
        <v>0</v>
      </c>
    </row>
    <row r="23" spans="23:111" ht="13.5" thickTop="1">
      <c r="W23" s="52"/>
      <c r="AI23" s="118"/>
      <c r="AW23" s="6"/>
      <c r="BJ23" s="664"/>
      <c r="BL23" s="15"/>
      <c r="BM23" s="154"/>
      <c r="BT23" s="15"/>
      <c r="BV23" s="664"/>
      <c r="CA23" s="665"/>
      <c r="CB23" s="665"/>
      <c r="CC23" s="666"/>
      <c r="DG23" s="3">
        <f>IF(LEFT(BJ24,1)="W",1,0)</f>
        <v>0</v>
      </c>
    </row>
    <row r="24" spans="1:113" s="52" customFormat="1" ht="12.75">
      <c r="A24" s="3"/>
      <c r="B24" s="3"/>
      <c r="C24" s="667" t="s">
        <v>641</v>
      </c>
      <c r="D24" s="667"/>
      <c r="E24" s="3"/>
      <c r="F24" s="3"/>
      <c r="G24" s="3"/>
      <c r="H24" s="3"/>
      <c r="I24" s="3"/>
      <c r="J24" s="3"/>
      <c r="K24" s="3"/>
      <c r="L24" s="3"/>
      <c r="M24" s="3"/>
      <c r="N24" s="3"/>
      <c r="O24" s="3"/>
      <c r="P24" s="3"/>
      <c r="Q24" s="3"/>
      <c r="R24" s="3"/>
      <c r="S24" s="3"/>
      <c r="T24" s="3"/>
      <c r="U24" s="3"/>
      <c r="V24" s="3"/>
      <c r="X24" s="3"/>
      <c r="Y24" s="3"/>
      <c r="Z24" s="3"/>
      <c r="AA24" s="3"/>
      <c r="AB24" s="3"/>
      <c r="AC24" s="3"/>
      <c r="AD24" s="3"/>
      <c r="AE24" s="3"/>
      <c r="AF24" s="3"/>
      <c r="AG24" s="3"/>
      <c r="AH24" s="60"/>
      <c r="AI24" s="118"/>
      <c r="AQ24" s="3"/>
      <c r="AR24" s="3"/>
      <c r="AS24" s="667" t="str">
        <f>C24</f>
        <v>Primary Schools</v>
      </c>
      <c r="AT24" s="667"/>
      <c r="AU24" s="3"/>
      <c r="AV24" s="3"/>
      <c r="AW24" s="6"/>
      <c r="AX24" s="3"/>
      <c r="AY24" s="3"/>
      <c r="AZ24" s="3"/>
      <c r="BA24" s="3"/>
      <c r="BB24" s="3"/>
      <c r="BC24" s="3"/>
      <c r="BD24" s="3"/>
      <c r="BE24" s="3"/>
      <c r="BF24" s="3"/>
      <c r="BG24" s="3"/>
      <c r="BH24" s="3"/>
      <c r="BI24" s="3"/>
      <c r="BJ24" s="680"/>
      <c r="BK24" s="3"/>
      <c r="BL24" s="15"/>
      <c r="BM24" s="154"/>
      <c r="BN24" s="3"/>
      <c r="BO24" s="3"/>
      <c r="BP24" s="3"/>
      <c r="BQ24" s="15"/>
      <c r="BR24" s="3"/>
      <c r="BS24" s="3"/>
      <c r="BT24" s="15"/>
      <c r="BU24" s="3"/>
      <c r="BV24" s="680"/>
      <c r="BW24" s="3"/>
      <c r="BX24" s="3"/>
      <c r="BY24" s="154"/>
      <c r="BZ24" s="154"/>
      <c r="CA24" s="665"/>
      <c r="CB24" s="665"/>
      <c r="CC24" s="666"/>
      <c r="CD24" s="154"/>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f>IF(LEFT(BJ25,1)="W",1,0)</f>
        <v>0</v>
      </c>
      <c r="DH24" s="3"/>
      <c r="DI24" s="3"/>
    </row>
    <row r="25" spans="1:111" s="52" customFormat="1" ht="12.75">
      <c r="A25" s="681"/>
      <c r="B25" s="645">
        <f>IF('Table 3a'!B26="","",'Table 3a'!B26)</f>
        <v>7</v>
      </c>
      <c r="C25" s="644" t="str">
        <f>IF('Table 3a'!C26="","",'Table 3a'!C26)</f>
        <v>Blossomfield Infant and Nursery School</v>
      </c>
      <c r="D25" s="645">
        <f>IF('Table 3a'!D26="","",'Table 3a'!D26)</f>
        <v>2000</v>
      </c>
      <c r="E25" s="646">
        <f>IF('Table 3a'!AC26="","",'Table 3a'!AC26)</f>
        <v>435360.26999999996</v>
      </c>
      <c r="F25" s="646">
        <f>IF('Table 3a'!AJ26="","",'Table 3a'!AJ26)</f>
        <v>74268</v>
      </c>
      <c r="G25" s="647"/>
      <c r="H25" s="646">
        <f>IF('Table 3a'!AO26="","",'Table 3a'!AO26)</f>
        <v>0</v>
      </c>
      <c r="I25" s="646">
        <f>IF('Table 3a'!AU26="","",'Table 3a'!AU26)</f>
        <v>20068</v>
      </c>
      <c r="J25" s="646">
        <f>IF('Table 3a'!AX26="","",'Table 3a'!AX26)</f>
        <v>6196</v>
      </c>
      <c r="K25" s="646">
        <f>IF('Table 3a'!BC26="","",'Table 3a'!BC26)</f>
        <v>5964</v>
      </c>
      <c r="L25" s="646">
        <f>IF('Table 3a'!BI26="","",'Table 3a'!BI26)</f>
        <v>4370</v>
      </c>
      <c r="M25" s="646">
        <f>IF('Table 3a'!BN26="","",'Table 3a'!BN26)</f>
        <v>35251</v>
      </c>
      <c r="N25" s="646">
        <f>IF('Table 3a'!BT26="","",'Table 3a'!BT26)</f>
        <v>85183</v>
      </c>
      <c r="O25" s="646">
        <f>IF('Table 3a'!BW26="","",'Table 3a'!BW26)</f>
        <v>0</v>
      </c>
      <c r="P25" s="646">
        <f>IF('Table 3a'!BX26="","",'Table 3a'!BX26)</f>
        <v>0</v>
      </c>
      <c r="Q25" s="646">
        <f aca="true" t="shared" si="7" ref="Q25:Q56">SUM(E25,F25,G25,H25,I25,J25,K25,L25,M25,N25,O25,P25)</f>
        <v>666660.27</v>
      </c>
      <c r="R25" s="646">
        <f>IF('Table 3a'!AB26="","",'Table 3a'!AB26)</f>
        <v>203.5</v>
      </c>
      <c r="S25" s="646">
        <f aca="true" t="shared" si="8" ref="S25:S56">IF(R25=0,0,IF(ISERROR(Q25/R25),0,Q25/R25))</f>
        <v>3275.971842751843</v>
      </c>
      <c r="T25" s="649" t="s">
        <v>642</v>
      </c>
      <c r="U25" s="649">
        <v>38740.629968139</v>
      </c>
      <c r="V25" s="649">
        <v>1393</v>
      </c>
      <c r="W25" s="651"/>
      <c r="X25" s="649">
        <v>23947</v>
      </c>
      <c r="Y25" s="649">
        <v>0</v>
      </c>
      <c r="Z25" s="649">
        <v>0</v>
      </c>
      <c r="AA25" s="649">
        <v>0</v>
      </c>
      <c r="AB25" s="649">
        <v>0</v>
      </c>
      <c r="AC25" s="649">
        <f aca="true" t="shared" si="9" ref="AC25:AC56">+I25+J25</f>
        <v>26264</v>
      </c>
      <c r="AD25" s="647"/>
      <c r="AE25" s="652"/>
      <c r="AF25" s="653"/>
      <c r="AG25" s="654"/>
      <c r="AH25" s="655"/>
      <c r="AI25" s="656"/>
      <c r="AJ25" s="657"/>
      <c r="AK25" s="658"/>
      <c r="AL25" s="658"/>
      <c r="AM25" s="658"/>
      <c r="AN25" s="657"/>
      <c r="AO25" s="658"/>
      <c r="AP25" s="658"/>
      <c r="AQ25" s="658"/>
      <c r="AR25" s="682"/>
      <c r="AS25" s="660">
        <f aca="true" t="shared" si="10" ref="AS25:AS56">IF(OR(OR(AND(C25="",D25&lt;&gt;""),AND(C25&lt;&gt;"",D25="")),AND(OR(SUM(Q25)&lt;&gt;0,SUM(R25)&lt;&gt;0,AND(U25&lt;&gt;"",U25&lt;&gt;0),AND(V25&lt;&gt;"",V25&lt;&gt;0),AND(W25&lt;&gt;"",W25&lt;&gt;0),AND(X25&lt;&gt;"",X25&lt;&gt;0),AND(Y25&lt;&gt;"",Y25&lt;&gt;0),AND(Z25&lt;&gt;"",Z25&lt;&gt;0),AND(AA25&lt;&gt;"",AA25&lt;&gt;0),AND(AB25&lt;&gt;"",AB25&lt;&gt;0),AND(AC25&lt;&gt;"",AC25&lt;&gt;0),AND(AD25&lt;&gt;"",AD25&lt;&gt;0),AE25&lt;&gt;"",AF25&lt;&gt;""),OR(C25="",D25=""))),"Error 2.11",IF(LEFT(C25,11)="Situated at","Error 2.12",""))</f>
      </c>
      <c r="AT25" s="660">
        <f>IF(OR(OR(AND(C25="",D25&lt;&gt;""),AND(C25&lt;&gt;"",D25="")),AND(OR(SUM(Q25)&lt;&gt;0,SUM(R25)&lt;&gt;0,AND(U25&lt;&gt;"",U25&lt;&gt;0),AND(V25&lt;&gt;"",V25&lt;&gt;0),AND(W25&lt;&gt;"",W25&lt;&gt;0),AND(X25&lt;&gt;"",X25&lt;&gt;0),AND(Y25&lt;&gt;"",Y25&lt;&gt;0),AND(Z25&lt;&gt;"",Z25&lt;&gt;0),AND(AA25&lt;&gt;"",AA25&lt;&gt;0),AND(AB25&lt;&gt;"",AB25&lt;&gt;0),AND(AC25&lt;&gt;"",AC25&lt;&gt;0),AND(AD25&lt;&gt;"",AD25&lt;&gt;0),AE25&lt;&gt;"",AF25&lt;&gt;""),OR(C25="",D25=""))),"Error 2.11",IF(AND(C25&lt;&gt;"",ISNUMBER(D25)=FALSE),"Error 1.2",IF(AND(C25&lt;&gt;"",'Table 3a'!D26-INT('Table 3a'!D26)&lt;&gt;0),"Error 2.1",IF(AND(C25&lt;&gt;"",OR(D25&lt;2000,AND(D25&gt;3999,D25&lt;5200),AND(D25&gt;5299,D25&lt;5940),D25&gt;5949)),"Error 2.3",IF(AND(C25&lt;&gt;"",COUNTIF(startdfes:enddfes,D25)&gt;1),"Warning 1.2","")))))</f>
      </c>
      <c r="AU25" s="660">
        <f>IF(AND(OR(E25="",E25=0),C25="",D25=""),"",IF(AND(OR(C25&lt;&gt;"",D25&lt;&gt;""),E25=""),"Error 4.10.2",IF(AND(E25&lt;&gt;"",ISNUMBER(E25)=FALSE),"Error 1.2",IF(E25&lt;=0,"Error 1.4",IF('Table 3a'!AC26&lt;&gt;'Table 3a'!CA26,"Warning 2.7","")))))</f>
      </c>
      <c r="AV25" s="660">
        <f aca="true" t="shared" si="11" ref="AV25:AV56">IF(AND(OR(F25="",F25=0),C25="",D25=""),"",IF(AND(OR(C25&lt;&gt;"",D25&lt;&gt;""),F25=""),"Error 4.10.2",IF(AND(F25&lt;&gt;"",ISNUMBER(F25)=FALSE),"Error 1.2",IF(F25&lt;0,"Error 1.3",""))))</f>
      </c>
      <c r="AW25" s="661"/>
      <c r="AX25" s="660">
        <f aca="true" t="shared" si="12" ref="AX25:AX56">IF(AND(OR(H25="",H25=0),C25="",D25=""),"",IF(AND(OR(C25&lt;&gt;"",D25&lt;&gt;""),H25=""),"Error 4.10.2",IF(AND(H25&lt;&gt;"",ISNUMBER(H25)=FALSE),"Error 1.2",IF(H25&lt;0,"Error 1.3",""))))</f>
      </c>
      <c r="AY25" s="660">
        <f aca="true" t="shared" si="13" ref="AY25:AY56">IF(AND(OR(I25="",I25=0),C25="",D25=""),"",IF(AND(OR(C25&lt;&gt;"",D25&lt;&gt;""),I25=""),"Error 4.10.2",IF(AND(I25&lt;&gt;"",ISNUMBER(I25)=FALSE),"Error 1.2",IF(I25=0,"Warning 2.4",IF(I25&lt;0,"Error 1.3","")))))</f>
      </c>
      <c r="AZ25" s="660">
        <f aca="true" t="shared" si="14" ref="AZ25:AZ56">IF(AND(OR(J25="",J25=0),C25="",D25=""),"",IF(AND(OR(C25&lt;&gt;"",D25&lt;&gt;""),J25=""),"Error 4.10.2",IF(AND(J25&lt;&gt;"",ISNUMBER(J25)=FALSE),"Error 1.2",IF(J25&lt;0,"Error 1.3",""))))</f>
      </c>
      <c r="BA25" s="660">
        <f aca="true" t="shared" si="15" ref="BA25:BA56">IF(AND(OR(K25="",K25=0),C25="",D25=""),"",IF(AND(OR(C25&lt;&gt;"",D25&lt;&gt;""),K25=""),"Error 4.10.2",IF(AND(K25&lt;&gt;"",ISNUMBER(K25)=FALSE),"Error 1.2",IF(K25&lt;0,"Error 1.3",""))))</f>
      </c>
      <c r="BB25" s="660">
        <f aca="true" t="shared" si="16" ref="BB25:BB56">IF(AND(OR(L25="",L25=0),C25="",D25=""),"",IF(AND(OR(C25&lt;&gt;"",D25&lt;&gt;""),L25=""),"Error 4.10.2",IF(AND(L25&lt;&gt;"",ISNUMBER(L25)=FALSE),"Error 1.2",IF(L25&lt;0,"Error 1.3",""))))</f>
      </c>
      <c r="BC25" s="660">
        <f aca="true" t="shared" si="17" ref="BC25:BC56">IF(AND(OR(M25="",M25=0),C25="",D25=""),"",IF(AND(OR(C25&lt;&gt;"",D25&lt;&gt;""),M25=""),"Error 4.10.2",IF(AND(M25&lt;&gt;"",ISNUMBER(M25)=FALSE),"Error 1.2",IF(M25&lt;0,"Error 1.3",""))))</f>
      </c>
      <c r="BD25" s="660">
        <f aca="true" t="shared" si="18" ref="BD25:BD56">IF(AND(OR(N25="",N25=0),C25="",D25=""),"",IF(AND(OR(C25&lt;&gt;"",D25&lt;&gt;""),N25=""),"Error 4.10.2",IF(AND(N25&lt;&gt;"",ISNUMBER(N25)=FALSE),"Error 1.2",IF(N25&lt;0,"Error 1.3",""))))</f>
      </c>
      <c r="BE25" s="660">
        <f aca="true" t="shared" si="19" ref="BE25:BE56">IF(AND(OR(O25="",O25=0),C25="",D25=""),"",IF(AND(OR(C25&lt;&gt;"",D25&lt;&gt;""),O25=""),"Error 4.10.2",IF(AND(O25&lt;&gt;"",ISNUMBER(O25)=FALSE),"Error 1.2","")))</f>
      </c>
      <c r="BF25" s="660">
        <f aca="true" t="shared" si="20" ref="BF25:BF56">IF(AND(OR(P25="",P25=0),C25="",D25=""),"",IF(AND(OR(C25&lt;&gt;"",D25&lt;&gt;""),P25=""),"Error 4.10.2",IF(AND(P25&lt;&gt;"",ISNUMBER(P25)=FALSE),"Error 1.2",IF(P25&lt;0,"Error 1.3",""))))</f>
      </c>
      <c r="BG25" s="660">
        <f>IF(AND(OR(Q25="",Q25=0),C25="",D25=""),"",IF(AND(OR(C25&lt;&gt;"",D25&lt;&gt;""),Q25=""),"Error 4.10.2",IF(AND(Q25&lt;&gt;"",ISNUMBER(Q25)=FALSE),"Error 1.2",IF(AND(OR(Q25&lt;10000,Q25&gt;10000000)),"Error 3.2.1",IF(ABS(('Table 3a'!BY26*2)-'Table 3a'!BZ26)&gt;50,"Error 3.7","")))))</f>
      </c>
      <c r="BH25" s="660">
        <f aca="true" t="shared" si="21" ref="BH25:BH56">IF(AND(OR(R25="",R25=0),C25="",D25=""),"",IF(AND(OR(C25&lt;&gt;"",D25&lt;&gt;""),R25=""),"Error 4.10.2",IF(AND(R25&lt;&gt;"",ISNUMBER(R25)=FALSE),"Error 1.2",IF(OR(R25&lt;1,R25&gt;2999),"Error 2.6",""))))</f>
      </c>
      <c r="BI25" s="660">
        <f aca="true" t="shared" si="22" ref="BI25:BI56">IF(AND(OR(S25="",S25=0),C25="",D25=""),"",IF(AND(OR(C25&lt;&gt;"",D25&lt;&gt;""),S25=""),"Error 4.10.2",IF(AND(S25&lt;&gt;"",ISNUMBER(S25)=FALSE),"Error 1.2",IF(S25&lt;=0,"Error 1.4",""))))</f>
      </c>
      <c r="BJ25" s="660">
        <f aca="true" t="shared" si="23" ref="BJ25:BJ56">IF(AND(T25="",C25="",D25=""),"",IF(AND(T25="",$H$1&lt;&gt;"*"),"",IF(AND(OR(C25&lt;&gt;"",D25&lt;&gt;""),AND(T25="",$H$1="*")),"Error 1.1",IF(AND(OR(C25&lt;&gt;"",D25&lt;&gt;""),AND(T25="",$H$1="*")),"Error 1.1",IF(AND(AND(T25&lt;&gt;"School Forum",T25&lt;&gt;"Secretary Of State",T25&lt;&gt;"No Variation Applied"),OR(C25&lt;&gt;"",D25&lt;&gt;"")),"Error 3.9",IF(AND(OR(T25="School Forum",T25="Secretary Of State"),($DG$187="NO")),"Warning 2.6",""))))))</f>
      </c>
      <c r="BK25" s="660">
        <f aca="true" t="shared" si="24" ref="BK25:BK56">IF(AND(U25="",C25="",D25=""),"",IF(AND(U25="",$H$1&lt;&gt;"*"),"",IF(AND(OR(C25&lt;&gt;"",D25&lt;&gt;""),AND(U25="",$H$1="*")),"Error 1.1",IF(AND(U25&lt;&gt;"",ISNUMBER(U25)=FALSE),"Error 1.2",IF(U25&lt;0,"Error 1.3",IF(U25&gt;=500000,"Error 3.4.1",""))))))</f>
      </c>
      <c r="BL25" s="660">
        <f aca="true" t="shared" si="25" ref="BL25:BL56">IF(AND(V25="",C25="",D25=""),"",IF(AND(V25="",$H$1&lt;&gt;"*"),"",IF(AND(OR(C25&lt;&gt;"",D25&lt;&gt;""),AND(V25="",$H$1="*")),"Error 1.1",IF(AND(V25&lt;&gt;"",ISNUMBER(V25)=FALSE),"Error 1.2",IF(V25&lt;0,"Error 1.3",IF(V25&gt;=500000,"Error 3.4.2",""))))))</f>
      </c>
      <c r="BM25" s="663"/>
      <c r="BN25" s="660">
        <f aca="true" t="shared" si="26" ref="BN25:BN56">IF(AND(X25="",C25="",D25=""),"",IF(AND(X25="",$H$1&lt;&gt;"*"),"",IF(AND(OR(C25&lt;&gt;"",D25&lt;&gt;""),AND(X25="",$H$1="*")),"Error 1.1",IF(AND(X25&lt;&gt;"",ISNUMBER(X25)=FALSE),"Error 1.2",IF(X25&lt;0,"Error 1.3",IF(X25&gt;=1000000,"Error 3.4.3",""))))))</f>
      </c>
      <c r="BO25" s="660">
        <f aca="true" t="shared" si="27" ref="BO25:BO56">IF(AND(Y25="",C25="",D25=""),"",IF(AND(Y25="",$H$1&lt;&gt;"*"),"",IF(AND(OR(C25&lt;&gt;"",D25&lt;&gt;""),AND(Y25="",$H$1="*")),"Error 1.1",IF(AND(Y25&lt;&gt;"",ISNUMBER(Y25)=FALSE),"Error 1.2",IF(Y25&lt;0,"Error 1.3",IF(Y25&gt;=1000000,"Error 3.4.3",""))))))</f>
      </c>
      <c r="BP25" s="660">
        <f aca="true" t="shared" si="28" ref="BP25:BP56">IF(AND(Z25="",C25="",D25=""),"",IF(AND(Z25="",$H$1&lt;&gt;"*"),"",IF(AND(OR(C25&lt;&gt;"",D25&lt;&gt;""),AND(Z25="",$H$1="*")),"Error 1.1",IF(AND(Z25&lt;&gt;"",ISNUMBER(Z25)=FALSE),"Error 1.2",IF(Z25&lt;0,"Error 1.3",IF(Z25&gt;=500000,"Error 3.4.4",""))))))</f>
      </c>
      <c r="BQ25" s="660">
        <f aca="true" t="shared" si="29" ref="BQ25:BQ56">IF(AND(AA25="",C25="",D25=""),"",IF(AND(AA25="",$H$1&lt;&gt;"*"),"",IF(AND(OR(C25&lt;&gt;"",D25&lt;&gt;""),AND(AA25="",$H$1="*")),"Error 1.1",IF(AND(AA25&lt;&gt;"",ISNUMBER(AA25)=FALSE),"Error 1.2",IF(AA25&lt;0,"Error 1.3",IF(AA25&gt;=500000,"Error 3.4.5",""))))))</f>
      </c>
      <c r="BR25" s="660">
        <f aca="true" t="shared" si="30" ref="BR25:BR56">IF(AND(AB25="",C25="",D25=""),"",IF(AND(AB25="",$H$1&lt;&gt;"*"),"",IF(AND(OR(C25&lt;&gt;"",D25&lt;&gt;""),AND(AB25="",$H$1="*")),"Error 1.1",IF(AND(AB25&lt;&gt;"",ISNUMBER(AB25)=FALSE),"Error 1.2",IF(AB25&lt;0,"Error 1.3",IF(AB25&gt;=500000,"Error 3.4.6",""))))))</f>
      </c>
      <c r="BS25" s="660">
        <f aca="true" t="shared" si="31" ref="BS25:BS56">IF(AND(AC25="",C25="",D25=""),"",IF(AND(AC25="",$H$1&lt;&gt;"*"),"",IF(AND(OR(C25&lt;&gt;"",D25&lt;&gt;""),AND(AC25="",$H$1="*")),"Error 1.1",IF(AND(AC25&lt;&gt;"",ISNUMBER(AC25)=FALSE),"Error 1.2",IF(AC25&lt;=0,"Error 1.4",IF(BX25&lt;&gt;"",BX25,""))))))</f>
      </c>
      <c r="BT25" s="662"/>
      <c r="BU25" s="660">
        <f aca="true" t="shared" si="32" ref="BU25:BU56">IF(AND(AE25&lt;&gt;"",UPPER(AE25)&lt;&gt;"C",UPPER(AE25)&lt;&gt;"O"),"Error 2.8","")</f>
      </c>
      <c r="BV25" s="660">
        <f aca="true" t="shared" si="33" ref="BV25:BV56">IF(AND(AE25="",AF25=""),"",IF(AND(AE25&lt;&gt;"",AF25=""),"Error 2.9.1",IF(AND(AE25="",AF25&lt;&gt;""),"Error 2.9.1",IF(ISNUMBER(AF25)&lt;&gt;TRUE,"Error 2.9.1",IF(AND(AE25&lt;&gt;"",R25&gt;0,(OR(AF25&lt;DATE(2010,4,1),AF25&gt;DATE(2011,3,31)))),"Error 2.10.2","")))))</f>
      </c>
      <c r="BW25" s="605">
        <f aca="true" t="shared" si="34" ref="BW25:BW56">IF(LEN(TRIM(AS25&amp;AT25&amp;AU25&amp;AV25&amp;AX25&amp;AY25&amp;AZ25&amp;BA25&amp;BB25&amp;BC25&amp;BD25&amp;BE25&amp;BF25&amp;BG25&amp;BH25&amp;BI25&amp;BJ25&amp;BK25&amp;BL25&amp;BM25&amp;BN25&amp;BO25&amp;BP25&amp;BQ25&amp;BR25&amp;BS25&amp;BU25&amp;BV25))&gt;0,1,0)</f>
        <v>0</v>
      </c>
      <c r="BX25" s="660">
        <f aca="true" t="shared" si="35" ref="BX25:BX56">IF(AND(AC25&lt;&gt;"",AC25&gt;=Q25),"Error 3.3.1",IF(AND(AC25&lt;&gt;"",AC25&lt;SUM(I25,J25)),"Error 3.3.2",""))</f>
      </c>
      <c r="BY25" s="664"/>
      <c r="BZ25" s="664"/>
      <c r="CA25" s="665"/>
      <c r="CB25" s="665"/>
      <c r="CC25" s="666"/>
      <c r="CD25" s="154"/>
      <c r="DG25" s="3">
        <f>IF(LEFT(BJ92,1)="W",1,0)</f>
        <v>0</v>
      </c>
    </row>
    <row r="26" spans="1:111" s="52" customFormat="1" ht="12.75">
      <c r="A26" s="681"/>
      <c r="B26" s="645">
        <f>IF('Table 3a'!B27="","",'Table 3a'!B27)</f>
        <v>9</v>
      </c>
      <c r="C26" s="644" t="str">
        <f>IF('Table 3a'!C27="","",'Table 3a'!C27)</f>
        <v>Burman Infant School</v>
      </c>
      <c r="D26" s="645">
        <f>IF('Table 3a'!D27="","",'Table 3a'!D27)</f>
        <v>2001</v>
      </c>
      <c r="E26" s="646">
        <f>IF('Table 3a'!AC27="","",'Table 3a'!AC27)</f>
        <v>431651.69</v>
      </c>
      <c r="F26" s="646">
        <f>IF('Table 3a'!AJ27="","",'Table 3a'!AJ27)</f>
        <v>74268</v>
      </c>
      <c r="G26" s="647"/>
      <c r="H26" s="646">
        <f>IF('Table 3a'!AO27="","",'Table 3a'!AO27)</f>
        <v>0</v>
      </c>
      <c r="I26" s="646">
        <f>IF('Table 3a'!AU27="","",'Table 3a'!AU27)</f>
        <v>5473</v>
      </c>
      <c r="J26" s="646">
        <f>IF('Table 3a'!AX27="","",'Table 3a'!AX27)</f>
        <v>3265</v>
      </c>
      <c r="K26" s="646">
        <f>IF('Table 3a'!BC27="","",'Table 3a'!BC27)</f>
        <v>5719</v>
      </c>
      <c r="L26" s="646">
        <f>IF('Table 3a'!BI27="","",'Table 3a'!BI27)</f>
        <v>5934</v>
      </c>
      <c r="M26" s="646">
        <f>IF('Table 3a'!BN27="","",'Table 3a'!BN27)</f>
        <v>41712</v>
      </c>
      <c r="N26" s="646">
        <f>IF('Table 3a'!BT27="","",'Table 3a'!BT27)</f>
        <v>85927</v>
      </c>
      <c r="O26" s="646">
        <f>IF('Table 3a'!BW27="","",'Table 3a'!BW27)</f>
        <v>0</v>
      </c>
      <c r="P26" s="646">
        <f>IF('Table 3a'!BX27="","",'Table 3a'!BX27)</f>
        <v>0</v>
      </c>
      <c r="Q26" s="646">
        <f t="shared" si="7"/>
        <v>653949.69</v>
      </c>
      <c r="R26" s="646">
        <f>IF('Table 3a'!AB27="","",'Table 3a'!AB27)</f>
        <v>205.5</v>
      </c>
      <c r="S26" s="646">
        <f t="shared" si="8"/>
        <v>3182.236934306569</v>
      </c>
      <c r="T26" s="649" t="s">
        <v>642</v>
      </c>
      <c r="U26" s="649">
        <v>37613.5483790557</v>
      </c>
      <c r="V26" s="649">
        <v>1360</v>
      </c>
      <c r="W26" s="651"/>
      <c r="X26" s="649">
        <v>17698</v>
      </c>
      <c r="Y26" s="649">
        <v>0</v>
      </c>
      <c r="Z26" s="649">
        <v>0</v>
      </c>
      <c r="AA26" s="649">
        <v>0</v>
      </c>
      <c r="AB26" s="649">
        <v>0</v>
      </c>
      <c r="AC26" s="649">
        <f t="shared" si="9"/>
        <v>8738</v>
      </c>
      <c r="AD26" s="647"/>
      <c r="AE26" s="652"/>
      <c r="AF26" s="653"/>
      <c r="AG26" s="654"/>
      <c r="AH26" s="655"/>
      <c r="AI26" s="656"/>
      <c r="AJ26" s="657"/>
      <c r="AK26" s="658"/>
      <c r="AL26" s="658"/>
      <c r="AM26" s="658"/>
      <c r="AN26" s="657"/>
      <c r="AO26" s="658"/>
      <c r="AP26" s="658"/>
      <c r="AQ26" s="658"/>
      <c r="AR26" s="682"/>
      <c r="AS26" s="660">
        <f t="shared" si="10"/>
      </c>
      <c r="AT26" s="660">
        <f>IF(OR(OR(AND(C26="",D26&lt;&gt;""),AND(C26&lt;&gt;"",D26="")),AND(OR(SUM(Q26)&lt;&gt;0,SUM(R26)&lt;&gt;0,AND(U26&lt;&gt;"",U26&lt;&gt;0),AND(V26&lt;&gt;"",V26&lt;&gt;0),AND(W26&lt;&gt;"",W26&lt;&gt;0),AND(X26&lt;&gt;"",X26&lt;&gt;0),AND(Y26&lt;&gt;"",Y26&lt;&gt;0),AND(Z26&lt;&gt;"",Z26&lt;&gt;0),AND(AA26&lt;&gt;"",AA26&lt;&gt;0),AND(AB26&lt;&gt;"",AB26&lt;&gt;0),AND(AC26&lt;&gt;"",AC26&lt;&gt;0),AND(AD26&lt;&gt;"",AD26&lt;&gt;0),AE26&lt;&gt;"",AF26&lt;&gt;""),OR(C26="",D26=""))),"Error 2.11",IF(AND(C26&lt;&gt;"",ISNUMBER(D26)=FALSE),"Error 1.2",IF(AND(C26&lt;&gt;"",'Table 3a'!D27-INT('Table 3a'!D27)&lt;&gt;0),"Error 2.1",IF(AND(C26&lt;&gt;"",OR(D26&lt;2000,AND(D26&gt;3999,D26&lt;5200),AND(D26&gt;5299,D26&lt;5940),D26&gt;5949)),"Error 2.3",IF(AND(C26&lt;&gt;"",COUNTIF(startdfes:enddfes,D26)&gt;1),"Warning 1.2","")))))</f>
      </c>
      <c r="AU26" s="660">
        <f>IF(AND(OR(E26="",E26=0),C26="",D26=""),"",IF(AND(OR(C26&lt;&gt;"",D26&lt;&gt;""),E26=""),"Error 4.10.2",IF(AND(E26&lt;&gt;"",ISNUMBER(E26)=FALSE),"Error 1.2",IF(E26&lt;=0,"Error 1.4",IF('Table 3a'!AC27&lt;&gt;'Table 3a'!CA27,"Warning 2.7","")))))</f>
      </c>
      <c r="AV26" s="660">
        <f t="shared" si="11"/>
      </c>
      <c r="AW26" s="661"/>
      <c r="AX26" s="660">
        <f t="shared" si="12"/>
      </c>
      <c r="AY26" s="660">
        <f t="shared" si="13"/>
      </c>
      <c r="AZ26" s="660">
        <f t="shared" si="14"/>
      </c>
      <c r="BA26" s="660">
        <f t="shared" si="15"/>
      </c>
      <c r="BB26" s="660">
        <f t="shared" si="16"/>
      </c>
      <c r="BC26" s="660">
        <f t="shared" si="17"/>
      </c>
      <c r="BD26" s="660">
        <f t="shared" si="18"/>
      </c>
      <c r="BE26" s="660">
        <f t="shared" si="19"/>
      </c>
      <c r="BF26" s="660">
        <f t="shared" si="20"/>
      </c>
      <c r="BG26" s="660">
        <f>IF(AND(OR(Q26="",Q26=0),C26="",D26=""),"",IF(AND(OR(C26&lt;&gt;"",D26&lt;&gt;""),Q26=""),"Error 4.10.2",IF(AND(Q26&lt;&gt;"",ISNUMBER(Q26)=FALSE),"Error 1.2",IF(AND(OR(Q26&lt;10000,Q26&gt;10000000)),"Error 3.2.1",IF(ABS(('Table 3a'!BY27*2)-'Table 3a'!BZ27)&gt;50,"Error 3.7","")))))</f>
      </c>
      <c r="BH26" s="660">
        <f t="shared" si="21"/>
      </c>
      <c r="BI26" s="660">
        <f t="shared" si="22"/>
      </c>
      <c r="BJ26" s="660">
        <f t="shared" si="23"/>
      </c>
      <c r="BK26" s="660">
        <f t="shared" si="24"/>
      </c>
      <c r="BL26" s="660">
        <f t="shared" si="25"/>
      </c>
      <c r="BM26" s="663"/>
      <c r="BN26" s="660">
        <f t="shared" si="26"/>
      </c>
      <c r="BO26" s="660">
        <f t="shared" si="27"/>
      </c>
      <c r="BP26" s="660">
        <f t="shared" si="28"/>
      </c>
      <c r="BQ26" s="660">
        <f t="shared" si="29"/>
      </c>
      <c r="BR26" s="660">
        <f t="shared" si="30"/>
      </c>
      <c r="BS26" s="660">
        <f t="shared" si="31"/>
      </c>
      <c r="BT26" s="662"/>
      <c r="BU26" s="660">
        <f t="shared" si="32"/>
      </c>
      <c r="BV26" s="660">
        <f t="shared" si="33"/>
      </c>
      <c r="BW26" s="605">
        <f t="shared" si="34"/>
        <v>0</v>
      </c>
      <c r="BX26" s="660">
        <f t="shared" si="35"/>
      </c>
      <c r="BY26" s="664"/>
      <c r="BZ26" s="664"/>
      <c r="CA26" s="665"/>
      <c r="CB26" s="665"/>
      <c r="CC26" s="666"/>
      <c r="CD26" s="154"/>
      <c r="DG26" s="3"/>
    </row>
    <row r="27" spans="1:111" s="52" customFormat="1" ht="12.75">
      <c r="A27" s="681"/>
      <c r="B27" s="645">
        <f>IF('Table 3a'!B28="","",'Table 3a'!B28)</f>
        <v>15</v>
      </c>
      <c r="C27" s="644" t="str">
        <f>IF('Table 3a'!C28="","",'Table 3a'!C28)</f>
        <v>Coppice Junior School</v>
      </c>
      <c r="D27" s="645">
        <f>IF('Table 3a'!D28="","",'Table 3a'!D28)</f>
        <v>2004</v>
      </c>
      <c r="E27" s="646">
        <f>IF('Table 3a'!AC28="","",'Table 3a'!AC28)</f>
        <v>606552.8</v>
      </c>
      <c r="F27" s="646">
        <f>IF('Table 3a'!AJ28="","",'Table 3a'!AJ28)</f>
        <v>0</v>
      </c>
      <c r="G27" s="647"/>
      <c r="H27" s="646">
        <f>IF('Table 3a'!AO28="","",'Table 3a'!AO28)</f>
        <v>0</v>
      </c>
      <c r="I27" s="646">
        <f>IF('Table 3a'!AU28="","",'Table 3a'!AU28)</f>
        <v>44494</v>
      </c>
      <c r="J27" s="646">
        <f>IF('Table 3a'!AX28="","",'Table 3a'!AX28)</f>
        <v>10167</v>
      </c>
      <c r="K27" s="646">
        <f>IF('Table 3a'!BC28="","",'Table 3a'!BC28)</f>
        <v>14494</v>
      </c>
      <c r="L27" s="646">
        <f>IF('Table 3a'!BI28="","",'Table 3a'!BI28)</f>
        <v>10256</v>
      </c>
      <c r="M27" s="646">
        <f>IF('Table 3a'!BN28="","",'Table 3a'!BN28)</f>
        <v>54313</v>
      </c>
      <c r="N27" s="646">
        <f>IF('Table 3a'!BT28="","",'Table 3a'!BT28)</f>
        <v>86384</v>
      </c>
      <c r="O27" s="646">
        <f>IF('Table 3a'!BW28="","",'Table 3a'!BW28)</f>
        <v>0</v>
      </c>
      <c r="P27" s="646">
        <f>IF('Table 3a'!BX28="","",'Table 3a'!BX28)</f>
        <v>0</v>
      </c>
      <c r="Q27" s="646">
        <f t="shared" si="7"/>
        <v>826660.8</v>
      </c>
      <c r="R27" s="646">
        <f>IF('Table 3a'!AB28="","",'Table 3a'!AB28)</f>
        <v>280</v>
      </c>
      <c r="S27" s="646">
        <f t="shared" si="8"/>
        <v>2952.36</v>
      </c>
      <c r="T27" s="649" t="s">
        <v>642</v>
      </c>
      <c r="U27" s="649">
        <v>46791.2506347759</v>
      </c>
      <c r="V27" s="649">
        <v>5548</v>
      </c>
      <c r="W27" s="651"/>
      <c r="X27" s="649">
        <v>20832</v>
      </c>
      <c r="Y27" s="649">
        <v>0</v>
      </c>
      <c r="Z27" s="649">
        <v>0</v>
      </c>
      <c r="AA27" s="649">
        <v>0</v>
      </c>
      <c r="AB27" s="649">
        <v>0</v>
      </c>
      <c r="AC27" s="649">
        <f t="shared" si="9"/>
        <v>54661</v>
      </c>
      <c r="AD27" s="647"/>
      <c r="AE27" s="652"/>
      <c r="AF27" s="653"/>
      <c r="AG27" s="654"/>
      <c r="AH27" s="655"/>
      <c r="AI27" s="656"/>
      <c r="AJ27" s="657"/>
      <c r="AK27" s="658"/>
      <c r="AL27" s="658"/>
      <c r="AM27" s="658"/>
      <c r="AN27" s="657"/>
      <c r="AO27" s="658"/>
      <c r="AP27" s="658"/>
      <c r="AQ27" s="658"/>
      <c r="AR27" s="682"/>
      <c r="AS27" s="660">
        <f t="shared" si="10"/>
      </c>
      <c r="AT27" s="660">
        <f>IF(OR(OR(AND(C27="",D27&lt;&gt;""),AND(C27&lt;&gt;"",D27="")),AND(OR(SUM(Q27)&lt;&gt;0,SUM(R27)&lt;&gt;0,AND(U27&lt;&gt;"",U27&lt;&gt;0),AND(V27&lt;&gt;"",V27&lt;&gt;0),AND(W27&lt;&gt;"",W27&lt;&gt;0),AND(X27&lt;&gt;"",X27&lt;&gt;0),AND(Y27&lt;&gt;"",Y27&lt;&gt;0),AND(Z27&lt;&gt;"",Z27&lt;&gt;0),AND(AA27&lt;&gt;"",AA27&lt;&gt;0),AND(AB27&lt;&gt;"",AB27&lt;&gt;0),AND(AC27&lt;&gt;"",AC27&lt;&gt;0),AND(AD27&lt;&gt;"",AD27&lt;&gt;0),AE27&lt;&gt;"",AF27&lt;&gt;""),OR(C27="",D27=""))),"Error 2.11",IF(AND(C27&lt;&gt;"",ISNUMBER(D27)=FALSE),"Error 1.2",IF(AND(C27&lt;&gt;"",'Table 3a'!D28-INT('Table 3a'!D28)&lt;&gt;0),"Error 2.1",IF(AND(C27&lt;&gt;"",OR(D27&lt;2000,AND(D27&gt;3999,D27&lt;5200),AND(D27&gt;5299,D27&lt;5940),D27&gt;5949)),"Error 2.3",IF(AND(C27&lt;&gt;"",COUNTIF(startdfes:enddfes,D27)&gt;1),"Warning 1.2","")))))</f>
      </c>
      <c r="AU27" s="660">
        <f>IF(AND(OR(E27="",E27=0),C27="",D27=""),"",IF(AND(OR(C27&lt;&gt;"",D27&lt;&gt;""),E27=""),"Error 4.10.2",IF(AND(E27&lt;&gt;"",ISNUMBER(E27)=FALSE),"Error 1.2",IF(E27&lt;=0,"Error 1.4",IF('Table 3a'!AC28&lt;&gt;'Table 3a'!CA28,"Warning 2.7","")))))</f>
      </c>
      <c r="AV27" s="660">
        <f t="shared" si="11"/>
      </c>
      <c r="AW27" s="661"/>
      <c r="AX27" s="660">
        <f t="shared" si="12"/>
      </c>
      <c r="AY27" s="660">
        <f t="shared" si="13"/>
      </c>
      <c r="AZ27" s="660">
        <f t="shared" si="14"/>
      </c>
      <c r="BA27" s="660">
        <f t="shared" si="15"/>
      </c>
      <c r="BB27" s="660">
        <f t="shared" si="16"/>
      </c>
      <c r="BC27" s="660">
        <f t="shared" si="17"/>
      </c>
      <c r="BD27" s="660">
        <f t="shared" si="18"/>
      </c>
      <c r="BE27" s="660">
        <f t="shared" si="19"/>
      </c>
      <c r="BF27" s="660">
        <f t="shared" si="20"/>
      </c>
      <c r="BG27" s="660">
        <f>IF(AND(OR(Q27="",Q27=0),C27="",D27=""),"",IF(AND(OR(C27&lt;&gt;"",D27&lt;&gt;""),Q27=""),"Error 4.10.2",IF(AND(Q27&lt;&gt;"",ISNUMBER(Q27)=FALSE),"Error 1.2",IF(AND(OR(Q27&lt;10000,Q27&gt;10000000)),"Error 3.2.1",IF(ABS(('Table 3a'!BY28*2)-'Table 3a'!BZ28)&gt;50,"Error 3.7","")))))</f>
      </c>
      <c r="BH27" s="660">
        <f t="shared" si="21"/>
      </c>
      <c r="BI27" s="660">
        <f t="shared" si="22"/>
      </c>
      <c r="BJ27" s="660">
        <f t="shared" si="23"/>
      </c>
      <c r="BK27" s="660">
        <f t="shared" si="24"/>
      </c>
      <c r="BL27" s="660">
        <f t="shared" si="25"/>
      </c>
      <c r="BM27" s="663"/>
      <c r="BN27" s="660">
        <f t="shared" si="26"/>
      </c>
      <c r="BO27" s="660">
        <f t="shared" si="27"/>
      </c>
      <c r="BP27" s="660">
        <f t="shared" si="28"/>
      </c>
      <c r="BQ27" s="660">
        <f t="shared" si="29"/>
      </c>
      <c r="BR27" s="660">
        <f t="shared" si="30"/>
      </c>
      <c r="BS27" s="660">
        <f t="shared" si="31"/>
      </c>
      <c r="BT27" s="662"/>
      <c r="BU27" s="660">
        <f t="shared" si="32"/>
      </c>
      <c r="BV27" s="660">
        <f t="shared" si="33"/>
      </c>
      <c r="BW27" s="605">
        <f t="shared" si="34"/>
        <v>0</v>
      </c>
      <c r="BX27" s="660">
        <f t="shared" si="35"/>
      </c>
      <c r="BY27" s="664"/>
      <c r="BZ27" s="664"/>
      <c r="CA27" s="665"/>
      <c r="CB27" s="665"/>
      <c r="CC27" s="666"/>
      <c r="CD27" s="154"/>
      <c r="DG27" s="3"/>
    </row>
    <row r="28" spans="1:111" s="52" customFormat="1" ht="12.75">
      <c r="A28" s="681"/>
      <c r="B28" s="645">
        <f>IF('Table 3a'!B29="","",'Table 3a'!B29)</f>
        <v>16</v>
      </c>
      <c r="C28" s="644" t="str">
        <f>IF('Table 3a'!C29="","",'Table 3a'!C29)</f>
        <v>Cranmore Infant School</v>
      </c>
      <c r="D28" s="645">
        <f>IF('Table 3a'!D29="","",'Table 3a'!D29)</f>
        <v>2005</v>
      </c>
      <c r="E28" s="646">
        <f>IF('Table 3a'!AC29="","",'Table 3a'!AC29)</f>
        <v>382369.53</v>
      </c>
      <c r="F28" s="646">
        <f>IF('Table 3a'!AJ29="","",'Table 3a'!AJ29)</f>
        <v>78711</v>
      </c>
      <c r="G28" s="647"/>
      <c r="H28" s="646">
        <f>IF('Table 3a'!AO29="","",'Table 3a'!AO29)</f>
        <v>0</v>
      </c>
      <c r="I28" s="646">
        <f>IF('Table 3a'!AU29="","",'Table 3a'!AU29)</f>
        <v>12162</v>
      </c>
      <c r="J28" s="646">
        <f>IF('Table 3a'!AX29="","",'Table 3a'!AX29)</f>
        <v>3656</v>
      </c>
      <c r="K28" s="646">
        <f>IF('Table 3a'!BC29="","",'Table 3a'!BC29)</f>
        <v>6769</v>
      </c>
      <c r="L28" s="646">
        <f>IF('Table 3a'!BI29="","",'Table 3a'!BI29)</f>
        <v>7658</v>
      </c>
      <c r="M28" s="646">
        <f>IF('Table 3a'!BN29="","",'Table 3a'!BN29)</f>
        <v>46383</v>
      </c>
      <c r="N28" s="646">
        <f>IF('Table 3a'!BT29="","",'Table 3a'!BT29)</f>
        <v>101581</v>
      </c>
      <c r="O28" s="646">
        <f>IF('Table 3a'!BW29="","",'Table 3a'!BW29)</f>
        <v>0</v>
      </c>
      <c r="P28" s="646">
        <f>IF('Table 3a'!BX29="","",'Table 3a'!BX29)</f>
        <v>0</v>
      </c>
      <c r="Q28" s="646">
        <f t="shared" si="7"/>
        <v>639289.53</v>
      </c>
      <c r="R28" s="646">
        <f>IF('Table 3a'!AB29="","",'Table 3a'!AB29)</f>
        <v>178.5</v>
      </c>
      <c r="S28" s="646">
        <f t="shared" si="8"/>
        <v>3581.453949579832</v>
      </c>
      <c r="T28" s="649" t="s">
        <v>642</v>
      </c>
      <c r="U28" s="649">
        <v>38373.56997757893</v>
      </c>
      <c r="V28" s="649">
        <v>1636</v>
      </c>
      <c r="W28" s="651"/>
      <c r="X28" s="649">
        <v>29006</v>
      </c>
      <c r="Y28" s="649">
        <v>0</v>
      </c>
      <c r="Z28" s="649">
        <v>0</v>
      </c>
      <c r="AA28" s="649">
        <v>0</v>
      </c>
      <c r="AB28" s="649">
        <v>0</v>
      </c>
      <c r="AC28" s="649">
        <f t="shared" si="9"/>
        <v>15818</v>
      </c>
      <c r="AD28" s="647"/>
      <c r="AE28" s="652"/>
      <c r="AF28" s="653"/>
      <c r="AG28" s="654"/>
      <c r="AH28" s="655"/>
      <c r="AI28" s="656"/>
      <c r="AJ28" s="657"/>
      <c r="AK28" s="658"/>
      <c r="AL28" s="658"/>
      <c r="AM28" s="658"/>
      <c r="AN28" s="657"/>
      <c r="AO28" s="658"/>
      <c r="AP28" s="658"/>
      <c r="AQ28" s="658"/>
      <c r="AR28" s="682"/>
      <c r="AS28" s="660">
        <f t="shared" si="10"/>
      </c>
      <c r="AT28" s="660">
        <f>IF(OR(OR(AND(C28="",D28&lt;&gt;""),AND(C28&lt;&gt;"",D28="")),AND(OR(SUM(Q28)&lt;&gt;0,SUM(R28)&lt;&gt;0,AND(U28&lt;&gt;"",U28&lt;&gt;0),AND(V28&lt;&gt;"",V28&lt;&gt;0),AND(W28&lt;&gt;"",W28&lt;&gt;0),AND(X28&lt;&gt;"",X28&lt;&gt;0),AND(Y28&lt;&gt;"",Y28&lt;&gt;0),AND(Z28&lt;&gt;"",Z28&lt;&gt;0),AND(AA28&lt;&gt;"",AA28&lt;&gt;0),AND(AB28&lt;&gt;"",AB28&lt;&gt;0),AND(AC28&lt;&gt;"",AC28&lt;&gt;0),AND(AD28&lt;&gt;"",AD28&lt;&gt;0),AE28&lt;&gt;"",AF28&lt;&gt;""),OR(C28="",D28=""))),"Error 2.11",IF(AND(C28&lt;&gt;"",ISNUMBER(D28)=FALSE),"Error 1.2",IF(AND(C28&lt;&gt;"",'Table 3a'!D29-INT('Table 3a'!D29)&lt;&gt;0),"Error 2.1",IF(AND(C28&lt;&gt;"",OR(D28&lt;2000,AND(D28&gt;3999,D28&lt;5200),AND(D28&gt;5299,D28&lt;5940),D28&gt;5949)),"Error 2.3",IF(AND(C28&lt;&gt;"",COUNTIF(startdfes:enddfes,D28)&gt;1),"Warning 1.2","")))))</f>
      </c>
      <c r="AU28" s="660">
        <f>IF(AND(OR(E28="",E28=0),C28="",D28=""),"",IF(AND(OR(C28&lt;&gt;"",D28&lt;&gt;""),E28=""),"Error 4.10.2",IF(AND(E28&lt;&gt;"",ISNUMBER(E28)=FALSE),"Error 1.2",IF(E28&lt;=0,"Error 1.4",IF('Table 3a'!AC29&lt;&gt;'Table 3a'!CA29,"Warning 2.7","")))))</f>
      </c>
      <c r="AV28" s="660">
        <f t="shared" si="11"/>
      </c>
      <c r="AW28" s="661"/>
      <c r="AX28" s="660">
        <f t="shared" si="12"/>
      </c>
      <c r="AY28" s="660">
        <f t="shared" si="13"/>
      </c>
      <c r="AZ28" s="660">
        <f t="shared" si="14"/>
      </c>
      <c r="BA28" s="660">
        <f t="shared" si="15"/>
      </c>
      <c r="BB28" s="660">
        <f t="shared" si="16"/>
      </c>
      <c r="BC28" s="660">
        <f t="shared" si="17"/>
      </c>
      <c r="BD28" s="660">
        <f t="shared" si="18"/>
      </c>
      <c r="BE28" s="660">
        <f t="shared" si="19"/>
      </c>
      <c r="BF28" s="660">
        <f t="shared" si="20"/>
      </c>
      <c r="BG28" s="660">
        <f>IF(AND(OR(Q28="",Q28=0),C28="",D28=""),"",IF(AND(OR(C28&lt;&gt;"",D28&lt;&gt;""),Q28=""),"Error 4.10.2",IF(AND(Q28&lt;&gt;"",ISNUMBER(Q28)=FALSE),"Error 1.2",IF(AND(OR(Q28&lt;10000,Q28&gt;10000000)),"Error 3.2.1",IF(ABS(('Table 3a'!BY29*2)-'Table 3a'!BZ29)&gt;50,"Error 3.7","")))))</f>
      </c>
      <c r="BH28" s="660">
        <f t="shared" si="21"/>
      </c>
      <c r="BI28" s="660">
        <f t="shared" si="22"/>
      </c>
      <c r="BJ28" s="660">
        <f t="shared" si="23"/>
      </c>
      <c r="BK28" s="660">
        <f t="shared" si="24"/>
      </c>
      <c r="BL28" s="660">
        <f t="shared" si="25"/>
      </c>
      <c r="BM28" s="663"/>
      <c r="BN28" s="660">
        <f t="shared" si="26"/>
      </c>
      <c r="BO28" s="660">
        <f t="shared" si="27"/>
      </c>
      <c r="BP28" s="660">
        <f t="shared" si="28"/>
      </c>
      <c r="BQ28" s="660">
        <f t="shared" si="29"/>
      </c>
      <c r="BR28" s="660">
        <f t="shared" si="30"/>
      </c>
      <c r="BS28" s="660">
        <f t="shared" si="31"/>
      </c>
      <c r="BT28" s="662"/>
      <c r="BU28" s="660">
        <f t="shared" si="32"/>
      </c>
      <c r="BV28" s="660">
        <f t="shared" si="33"/>
      </c>
      <c r="BW28" s="605">
        <f t="shared" si="34"/>
        <v>0</v>
      </c>
      <c r="BX28" s="660">
        <f t="shared" si="35"/>
      </c>
      <c r="BY28" s="664"/>
      <c r="BZ28" s="664"/>
      <c r="CA28" s="665"/>
      <c r="CB28" s="665"/>
      <c r="CC28" s="666"/>
      <c r="CD28" s="154"/>
      <c r="DG28" s="3"/>
    </row>
    <row r="29" spans="1:111" s="52" customFormat="1" ht="12.75">
      <c r="A29" s="681"/>
      <c r="B29" s="645">
        <f>IF('Table 3a'!B30="","",'Table 3a'!B30)</f>
        <v>18</v>
      </c>
      <c r="C29" s="644" t="str">
        <f>IF('Table 3a'!C30="","",'Table 3a'!C30)</f>
        <v>Daylesford Infant School</v>
      </c>
      <c r="D29" s="645">
        <f>IF('Table 3a'!D30="","",'Table 3a'!D30)</f>
        <v>2006</v>
      </c>
      <c r="E29" s="646">
        <f>IF('Table 3a'!AC30="","",'Table 3a'!AC30)</f>
        <v>542800.75</v>
      </c>
      <c r="F29" s="646">
        <f>IF('Table 3a'!AJ30="","",'Table 3a'!AJ30)</f>
        <v>91968</v>
      </c>
      <c r="G29" s="647"/>
      <c r="H29" s="646">
        <f>IF('Table 3a'!AO30="","",'Table 3a'!AO30)</f>
        <v>0</v>
      </c>
      <c r="I29" s="646">
        <f>IF('Table 3a'!AU30="","",'Table 3a'!AU30)</f>
        <v>33601</v>
      </c>
      <c r="J29" s="646">
        <f>IF('Table 3a'!AX30="","",'Table 3a'!AX30)</f>
        <v>3265</v>
      </c>
      <c r="K29" s="646">
        <f>IF('Table 3a'!BC30="","",'Table 3a'!BC30)</f>
        <v>14452</v>
      </c>
      <c r="L29" s="646">
        <f>IF('Table 3a'!BI30="","",'Table 3a'!BI30)</f>
        <v>10229</v>
      </c>
      <c r="M29" s="646">
        <f>IF('Table 3a'!BN30="","",'Table 3a'!BN30)</f>
        <v>44594</v>
      </c>
      <c r="N29" s="646">
        <f>IF('Table 3a'!BT30="","",'Table 3a'!BT30)</f>
        <v>86181</v>
      </c>
      <c r="O29" s="646">
        <f>IF('Table 3a'!BW30="","",'Table 3a'!BW30)</f>
        <v>0</v>
      </c>
      <c r="P29" s="646">
        <f>IF('Table 3a'!BX30="","",'Table 3a'!BX30)</f>
        <v>0</v>
      </c>
      <c r="Q29" s="646">
        <f t="shared" si="7"/>
        <v>827090.75</v>
      </c>
      <c r="R29" s="646">
        <f>IF('Table 3a'!AB30="","",'Table 3a'!AB30)</f>
        <v>258</v>
      </c>
      <c r="S29" s="646">
        <f t="shared" si="8"/>
        <v>3205.7781007751937</v>
      </c>
      <c r="T29" s="649" t="s">
        <v>642</v>
      </c>
      <c r="U29" s="649">
        <v>45326.15186502561</v>
      </c>
      <c r="V29" s="649">
        <v>3179</v>
      </c>
      <c r="W29" s="651"/>
      <c r="X29" s="649">
        <v>23497</v>
      </c>
      <c r="Y29" s="649">
        <v>0</v>
      </c>
      <c r="Z29" s="649">
        <v>0</v>
      </c>
      <c r="AA29" s="649">
        <v>0</v>
      </c>
      <c r="AB29" s="649">
        <v>0</v>
      </c>
      <c r="AC29" s="649">
        <f t="shared" si="9"/>
        <v>36866</v>
      </c>
      <c r="AD29" s="647"/>
      <c r="AE29" s="652"/>
      <c r="AF29" s="653"/>
      <c r="AG29" s="654"/>
      <c r="AH29" s="655"/>
      <c r="AI29" s="656"/>
      <c r="AJ29" s="657"/>
      <c r="AK29" s="658"/>
      <c r="AL29" s="658"/>
      <c r="AM29" s="658"/>
      <c r="AN29" s="657"/>
      <c r="AO29" s="658"/>
      <c r="AP29" s="658"/>
      <c r="AQ29" s="658"/>
      <c r="AR29" s="682"/>
      <c r="AS29" s="660">
        <f t="shared" si="10"/>
      </c>
      <c r="AT29" s="660">
        <f>IF(OR(OR(AND(C29="",D29&lt;&gt;""),AND(C29&lt;&gt;"",D29="")),AND(OR(SUM(Q29)&lt;&gt;0,SUM(R29)&lt;&gt;0,AND(U29&lt;&gt;"",U29&lt;&gt;0),AND(V29&lt;&gt;"",V29&lt;&gt;0),AND(W29&lt;&gt;"",W29&lt;&gt;0),AND(X29&lt;&gt;"",X29&lt;&gt;0),AND(Y29&lt;&gt;"",Y29&lt;&gt;0),AND(Z29&lt;&gt;"",Z29&lt;&gt;0),AND(AA29&lt;&gt;"",AA29&lt;&gt;0),AND(AB29&lt;&gt;"",AB29&lt;&gt;0),AND(AC29&lt;&gt;"",AC29&lt;&gt;0),AND(AD29&lt;&gt;"",AD29&lt;&gt;0),AE29&lt;&gt;"",AF29&lt;&gt;""),OR(C29="",D29=""))),"Error 2.11",IF(AND(C29&lt;&gt;"",ISNUMBER(D29)=FALSE),"Error 1.2",IF(AND(C29&lt;&gt;"",'Table 3a'!D30-INT('Table 3a'!D30)&lt;&gt;0),"Error 2.1",IF(AND(C29&lt;&gt;"",OR(D29&lt;2000,AND(D29&gt;3999,D29&lt;5200),AND(D29&gt;5299,D29&lt;5940),D29&gt;5949)),"Error 2.3",IF(AND(C29&lt;&gt;"",COUNTIF(startdfes:enddfes,D29)&gt;1),"Warning 1.2","")))))</f>
      </c>
      <c r="AU29" s="660">
        <f>IF(AND(OR(E29="",E29=0),C29="",D29=""),"",IF(AND(OR(C29&lt;&gt;"",D29&lt;&gt;""),E29=""),"Error 4.10.2",IF(AND(E29&lt;&gt;"",ISNUMBER(E29)=FALSE),"Error 1.2",IF(E29&lt;=0,"Error 1.4",IF('Table 3a'!AC30&lt;&gt;'Table 3a'!CA30,"Warning 2.7","")))))</f>
      </c>
      <c r="AV29" s="660">
        <f t="shared" si="11"/>
      </c>
      <c r="AW29" s="661"/>
      <c r="AX29" s="660">
        <f t="shared" si="12"/>
      </c>
      <c r="AY29" s="660">
        <f t="shared" si="13"/>
      </c>
      <c r="AZ29" s="660">
        <f t="shared" si="14"/>
      </c>
      <c r="BA29" s="660">
        <f t="shared" si="15"/>
      </c>
      <c r="BB29" s="660">
        <f t="shared" si="16"/>
      </c>
      <c r="BC29" s="660">
        <f t="shared" si="17"/>
      </c>
      <c r="BD29" s="660">
        <f t="shared" si="18"/>
      </c>
      <c r="BE29" s="660">
        <f t="shared" si="19"/>
      </c>
      <c r="BF29" s="660">
        <f t="shared" si="20"/>
      </c>
      <c r="BG29" s="660">
        <f>IF(AND(OR(Q29="",Q29=0),C29="",D29=""),"",IF(AND(OR(C29&lt;&gt;"",D29&lt;&gt;""),Q29=""),"Error 4.10.2",IF(AND(Q29&lt;&gt;"",ISNUMBER(Q29)=FALSE),"Error 1.2",IF(AND(OR(Q29&lt;10000,Q29&gt;10000000)),"Error 3.2.1",IF(ABS(('Table 3a'!BY30*2)-'Table 3a'!BZ30)&gt;50,"Error 3.7","")))))</f>
      </c>
      <c r="BH29" s="660">
        <f t="shared" si="21"/>
      </c>
      <c r="BI29" s="660">
        <f t="shared" si="22"/>
      </c>
      <c r="BJ29" s="660">
        <f t="shared" si="23"/>
      </c>
      <c r="BK29" s="660">
        <f t="shared" si="24"/>
      </c>
      <c r="BL29" s="660">
        <f t="shared" si="25"/>
      </c>
      <c r="BM29" s="663"/>
      <c r="BN29" s="660">
        <f t="shared" si="26"/>
      </c>
      <c r="BO29" s="660">
        <f t="shared" si="27"/>
      </c>
      <c r="BP29" s="660">
        <f t="shared" si="28"/>
      </c>
      <c r="BQ29" s="660">
        <f t="shared" si="29"/>
      </c>
      <c r="BR29" s="660">
        <f t="shared" si="30"/>
      </c>
      <c r="BS29" s="660">
        <f t="shared" si="31"/>
      </c>
      <c r="BT29" s="662"/>
      <c r="BU29" s="660">
        <f t="shared" si="32"/>
      </c>
      <c r="BV29" s="660">
        <f t="shared" si="33"/>
      </c>
      <c r="BW29" s="605">
        <f t="shared" si="34"/>
        <v>0</v>
      </c>
      <c r="BX29" s="660">
        <f t="shared" si="35"/>
      </c>
      <c r="BY29" s="664"/>
      <c r="BZ29" s="664"/>
      <c r="CA29" s="665"/>
      <c r="CB29" s="665"/>
      <c r="CC29" s="666"/>
      <c r="CD29" s="154"/>
      <c r="DG29" s="3"/>
    </row>
    <row r="30" spans="1:111" s="52" customFormat="1" ht="12.75">
      <c r="A30" s="681"/>
      <c r="B30" s="645">
        <f>IF('Table 3a'!B31="","",'Table 3a'!B31)</f>
        <v>21</v>
      </c>
      <c r="C30" s="644" t="str">
        <f>IF('Table 3a'!C31="","",'Table 3a'!C31)</f>
        <v>Dorridge Junior School</v>
      </c>
      <c r="D30" s="645">
        <f>IF('Table 3a'!D31="","",'Table 3a'!D31)</f>
        <v>2007</v>
      </c>
      <c r="E30" s="646">
        <f>IF('Table 3a'!AC31="","",'Table 3a'!AC31)</f>
        <v>740427.74</v>
      </c>
      <c r="F30" s="646">
        <f>IF('Table 3a'!AJ31="","",'Table 3a'!AJ31)</f>
        <v>0</v>
      </c>
      <c r="G30" s="647"/>
      <c r="H30" s="646">
        <f>IF('Table 3a'!AO31="","",'Table 3a'!AO31)</f>
        <v>0</v>
      </c>
      <c r="I30" s="646">
        <f>IF('Table 3a'!AU31="","",'Table 3a'!AU31)</f>
        <v>19613</v>
      </c>
      <c r="J30" s="646">
        <f>IF('Table 3a'!AX31="","",'Table 3a'!AX31)</f>
        <v>9713</v>
      </c>
      <c r="K30" s="646">
        <f>IF('Table 3a'!BC31="","",'Table 3a'!BC31)</f>
        <v>5006</v>
      </c>
      <c r="L30" s="646">
        <f>IF('Table 3a'!BI31="","",'Table 3a'!BI31)</f>
        <v>4321</v>
      </c>
      <c r="M30" s="646">
        <f>IF('Table 3a'!BN31="","",'Table 3a'!BN31)</f>
        <v>64221</v>
      </c>
      <c r="N30" s="646">
        <f>IF('Table 3a'!BT31="","",'Table 3a'!BT31)</f>
        <v>87740</v>
      </c>
      <c r="O30" s="646">
        <f>IF('Table 3a'!BW31="","",'Table 3a'!BW31)</f>
        <v>0</v>
      </c>
      <c r="P30" s="646">
        <f>IF('Table 3a'!BX31="","",'Table 3a'!BX31)</f>
        <v>16328</v>
      </c>
      <c r="Q30" s="646">
        <f t="shared" si="7"/>
        <v>947369.74</v>
      </c>
      <c r="R30" s="646">
        <f>IF('Table 3a'!AB31="","",'Table 3a'!AB31)</f>
        <v>342</v>
      </c>
      <c r="S30" s="646">
        <f t="shared" si="8"/>
        <v>2770.0869590643274</v>
      </c>
      <c r="T30" s="649" t="s">
        <v>642</v>
      </c>
      <c r="U30" s="649">
        <v>53040</v>
      </c>
      <c r="V30" s="649">
        <v>3852</v>
      </c>
      <c r="W30" s="651"/>
      <c r="X30" s="649">
        <v>20531</v>
      </c>
      <c r="Y30" s="649">
        <v>0</v>
      </c>
      <c r="Z30" s="649">
        <v>0</v>
      </c>
      <c r="AA30" s="649">
        <v>0</v>
      </c>
      <c r="AB30" s="649">
        <v>0</v>
      </c>
      <c r="AC30" s="649">
        <f t="shared" si="9"/>
        <v>29326</v>
      </c>
      <c r="AD30" s="647"/>
      <c r="AE30" s="652"/>
      <c r="AF30" s="653"/>
      <c r="AG30" s="654"/>
      <c r="AH30" s="655"/>
      <c r="AI30" s="656"/>
      <c r="AJ30" s="657"/>
      <c r="AK30" s="658"/>
      <c r="AL30" s="658"/>
      <c r="AM30" s="658"/>
      <c r="AN30" s="657"/>
      <c r="AO30" s="658"/>
      <c r="AP30" s="658"/>
      <c r="AQ30" s="658"/>
      <c r="AR30" s="682"/>
      <c r="AS30" s="660">
        <f t="shared" si="10"/>
      </c>
      <c r="AT30" s="660">
        <f>IF(OR(OR(AND(C30="",D30&lt;&gt;""),AND(C30&lt;&gt;"",D30="")),AND(OR(SUM(Q30)&lt;&gt;0,SUM(R30)&lt;&gt;0,AND(U30&lt;&gt;"",U30&lt;&gt;0),AND(V30&lt;&gt;"",V30&lt;&gt;0),AND(W30&lt;&gt;"",W30&lt;&gt;0),AND(X30&lt;&gt;"",X30&lt;&gt;0),AND(Y30&lt;&gt;"",Y30&lt;&gt;0),AND(Z30&lt;&gt;"",Z30&lt;&gt;0),AND(AA30&lt;&gt;"",AA30&lt;&gt;0),AND(AB30&lt;&gt;"",AB30&lt;&gt;0),AND(AC30&lt;&gt;"",AC30&lt;&gt;0),AND(AD30&lt;&gt;"",AD30&lt;&gt;0),AE30&lt;&gt;"",AF30&lt;&gt;""),OR(C30="",D30=""))),"Error 2.11",IF(AND(C30&lt;&gt;"",ISNUMBER(D30)=FALSE),"Error 1.2",IF(AND(C30&lt;&gt;"",'Table 3a'!D31-INT('Table 3a'!D31)&lt;&gt;0),"Error 2.1",IF(AND(C30&lt;&gt;"",OR(D30&lt;2000,AND(D30&gt;3999,D30&lt;5200),AND(D30&gt;5299,D30&lt;5940),D30&gt;5949)),"Error 2.3",IF(AND(C30&lt;&gt;"",COUNTIF(startdfes:enddfes,D30)&gt;1),"Warning 1.2","")))))</f>
      </c>
      <c r="AU30" s="660">
        <f>IF(AND(OR(E30="",E30=0),C30="",D30=""),"",IF(AND(OR(C30&lt;&gt;"",D30&lt;&gt;""),E30=""),"Error 4.10.2",IF(AND(E30&lt;&gt;"",ISNUMBER(E30)=FALSE),"Error 1.2",IF(E30&lt;=0,"Error 1.4",IF('Table 3a'!AC31&lt;&gt;'Table 3a'!CA31,"Warning 2.7","")))))</f>
      </c>
      <c r="AV30" s="660">
        <f t="shared" si="11"/>
      </c>
      <c r="AW30" s="661"/>
      <c r="AX30" s="660">
        <f t="shared" si="12"/>
      </c>
      <c r="AY30" s="660">
        <f t="shared" si="13"/>
      </c>
      <c r="AZ30" s="660">
        <f t="shared" si="14"/>
      </c>
      <c r="BA30" s="660">
        <f t="shared" si="15"/>
      </c>
      <c r="BB30" s="660">
        <f t="shared" si="16"/>
      </c>
      <c r="BC30" s="660">
        <f t="shared" si="17"/>
      </c>
      <c r="BD30" s="660">
        <f t="shared" si="18"/>
      </c>
      <c r="BE30" s="660">
        <f t="shared" si="19"/>
      </c>
      <c r="BF30" s="660">
        <f t="shared" si="20"/>
      </c>
      <c r="BG30" s="660">
        <f>IF(AND(OR(Q30="",Q30=0),C30="",D30=""),"",IF(AND(OR(C30&lt;&gt;"",D30&lt;&gt;""),Q30=""),"Error 4.10.2",IF(AND(Q30&lt;&gt;"",ISNUMBER(Q30)=FALSE),"Error 1.2",IF(AND(OR(Q30&lt;10000,Q30&gt;10000000)),"Error 3.2.1",IF(ABS(('Table 3a'!BY31*2)-'Table 3a'!BZ31)&gt;50,"Error 3.7","")))))</f>
      </c>
      <c r="BH30" s="660">
        <f t="shared" si="21"/>
      </c>
      <c r="BI30" s="660">
        <f t="shared" si="22"/>
      </c>
      <c r="BJ30" s="660">
        <f t="shared" si="23"/>
      </c>
      <c r="BK30" s="660">
        <f t="shared" si="24"/>
      </c>
      <c r="BL30" s="660">
        <f t="shared" si="25"/>
      </c>
      <c r="BM30" s="663"/>
      <c r="BN30" s="660">
        <f t="shared" si="26"/>
      </c>
      <c r="BO30" s="660">
        <f t="shared" si="27"/>
      </c>
      <c r="BP30" s="660">
        <f t="shared" si="28"/>
      </c>
      <c r="BQ30" s="660">
        <f t="shared" si="29"/>
      </c>
      <c r="BR30" s="660">
        <f t="shared" si="30"/>
      </c>
      <c r="BS30" s="660">
        <f t="shared" si="31"/>
      </c>
      <c r="BT30" s="662"/>
      <c r="BU30" s="660">
        <f t="shared" si="32"/>
      </c>
      <c r="BV30" s="660">
        <f t="shared" si="33"/>
      </c>
      <c r="BW30" s="605">
        <f t="shared" si="34"/>
        <v>0</v>
      </c>
      <c r="BX30" s="660">
        <f t="shared" si="35"/>
      </c>
      <c r="BY30" s="664"/>
      <c r="BZ30" s="664"/>
      <c r="CA30" s="665"/>
      <c r="CB30" s="665"/>
      <c r="CC30" s="666"/>
      <c r="CD30" s="154"/>
      <c r="DG30" s="3"/>
    </row>
    <row r="31" spans="1:111" s="52" customFormat="1" ht="12.75">
      <c r="A31" s="681"/>
      <c r="B31" s="645">
        <f>IF('Table 3a'!B32="","",'Table 3a'!B32)</f>
        <v>20</v>
      </c>
      <c r="C31" s="644" t="str">
        <f>IF('Table 3a'!C32="","",'Table 3a'!C32)</f>
        <v>Dorridge Nursery and Infant School</v>
      </c>
      <c r="D31" s="645">
        <f>IF('Table 3a'!D32="","",'Table 3a'!D32)</f>
        <v>2008</v>
      </c>
      <c r="E31" s="646">
        <f>IF('Table 3a'!AC32="","",'Table 3a'!AC32)</f>
        <v>649461.74</v>
      </c>
      <c r="F31" s="646">
        <f>IF('Table 3a'!AJ32="","",'Table 3a'!AJ32)</f>
        <v>109666</v>
      </c>
      <c r="G31" s="647"/>
      <c r="H31" s="646">
        <f>IF('Table 3a'!AO32="","",'Table 3a'!AO32)</f>
        <v>0</v>
      </c>
      <c r="I31" s="646">
        <f>IF('Table 3a'!AU32="","",'Table 3a'!AU32)</f>
        <v>5808</v>
      </c>
      <c r="J31" s="646">
        <f>IF('Table 3a'!AX32="","",'Table 3a'!AX32)</f>
        <v>3265</v>
      </c>
      <c r="K31" s="646">
        <f>IF('Table 3a'!BC32="","",'Table 3a'!BC32)</f>
        <v>3753</v>
      </c>
      <c r="L31" s="646">
        <f>IF('Table 3a'!BI32="","",'Table 3a'!BI32)</f>
        <v>2715</v>
      </c>
      <c r="M31" s="646">
        <f>IF('Table 3a'!BN32="","",'Table 3a'!BN32)</f>
        <v>57033</v>
      </c>
      <c r="N31" s="646">
        <f>IF('Table 3a'!BT32="","",'Table 3a'!BT32)</f>
        <v>86638</v>
      </c>
      <c r="O31" s="646">
        <f>IF('Table 3a'!BW32="","",'Table 3a'!BW32)</f>
        <v>0</v>
      </c>
      <c r="P31" s="646">
        <f>IF('Table 3a'!BX32="","",'Table 3a'!BX32)</f>
        <v>0</v>
      </c>
      <c r="Q31" s="646">
        <f t="shared" si="7"/>
        <v>918339.74</v>
      </c>
      <c r="R31" s="646">
        <f>IF('Table 3a'!AB32="","",'Table 3a'!AB32)</f>
        <v>308</v>
      </c>
      <c r="S31" s="646">
        <f t="shared" si="8"/>
        <v>2981.6225324675324</v>
      </c>
      <c r="T31" s="649" t="s">
        <v>642</v>
      </c>
      <c r="U31" s="649">
        <v>51029.76503106531</v>
      </c>
      <c r="V31" s="649">
        <v>1454</v>
      </c>
      <c r="W31" s="651"/>
      <c r="X31" s="649">
        <v>20096</v>
      </c>
      <c r="Y31" s="649">
        <v>0</v>
      </c>
      <c r="Z31" s="649">
        <v>0</v>
      </c>
      <c r="AA31" s="649">
        <v>0</v>
      </c>
      <c r="AB31" s="649">
        <v>0</v>
      </c>
      <c r="AC31" s="649">
        <f t="shared" si="9"/>
        <v>9073</v>
      </c>
      <c r="AD31" s="647"/>
      <c r="AE31" s="652"/>
      <c r="AF31" s="653"/>
      <c r="AG31" s="654"/>
      <c r="AH31" s="655"/>
      <c r="AI31" s="656"/>
      <c r="AJ31" s="657"/>
      <c r="AK31" s="658"/>
      <c r="AL31" s="658"/>
      <c r="AM31" s="658"/>
      <c r="AN31" s="657"/>
      <c r="AO31" s="658"/>
      <c r="AP31" s="658"/>
      <c r="AQ31" s="658"/>
      <c r="AR31" s="682"/>
      <c r="AS31" s="660">
        <f t="shared" si="10"/>
      </c>
      <c r="AT31" s="660">
        <f>IF(OR(OR(AND(C31="",D31&lt;&gt;""),AND(C31&lt;&gt;"",D31="")),AND(OR(SUM(Q31)&lt;&gt;0,SUM(R31)&lt;&gt;0,AND(U31&lt;&gt;"",U31&lt;&gt;0),AND(V31&lt;&gt;"",V31&lt;&gt;0),AND(W31&lt;&gt;"",W31&lt;&gt;0),AND(X31&lt;&gt;"",X31&lt;&gt;0),AND(Y31&lt;&gt;"",Y31&lt;&gt;0),AND(Z31&lt;&gt;"",Z31&lt;&gt;0),AND(AA31&lt;&gt;"",AA31&lt;&gt;0),AND(AB31&lt;&gt;"",AB31&lt;&gt;0),AND(AC31&lt;&gt;"",AC31&lt;&gt;0),AND(AD31&lt;&gt;"",AD31&lt;&gt;0),AE31&lt;&gt;"",AF31&lt;&gt;""),OR(C31="",D31=""))),"Error 2.11",IF(AND(C31&lt;&gt;"",ISNUMBER(D31)=FALSE),"Error 1.2",IF(AND(C31&lt;&gt;"",'Table 3a'!D32-INT('Table 3a'!D32)&lt;&gt;0),"Error 2.1",IF(AND(C31&lt;&gt;"",OR(D31&lt;2000,AND(D31&gt;3999,D31&lt;5200),AND(D31&gt;5299,D31&lt;5940),D31&gt;5949)),"Error 2.3",IF(AND(C31&lt;&gt;"",COUNTIF(startdfes:enddfes,D31)&gt;1),"Warning 1.2","")))))</f>
      </c>
      <c r="AU31" s="660">
        <f>IF(AND(OR(E31="",E31=0),C31="",D31=""),"",IF(AND(OR(C31&lt;&gt;"",D31&lt;&gt;""),E31=""),"Error 4.10.2",IF(AND(E31&lt;&gt;"",ISNUMBER(E31)=FALSE),"Error 1.2",IF(E31&lt;=0,"Error 1.4",IF('Table 3a'!AC32&lt;&gt;'Table 3a'!CA32,"Warning 2.7","")))))</f>
      </c>
      <c r="AV31" s="660">
        <f t="shared" si="11"/>
      </c>
      <c r="AW31" s="661"/>
      <c r="AX31" s="660">
        <f t="shared" si="12"/>
      </c>
      <c r="AY31" s="660">
        <f t="shared" si="13"/>
      </c>
      <c r="AZ31" s="660">
        <f t="shared" si="14"/>
      </c>
      <c r="BA31" s="660">
        <f t="shared" si="15"/>
      </c>
      <c r="BB31" s="660">
        <f t="shared" si="16"/>
      </c>
      <c r="BC31" s="660">
        <f t="shared" si="17"/>
      </c>
      <c r="BD31" s="660">
        <f t="shared" si="18"/>
      </c>
      <c r="BE31" s="660">
        <f t="shared" si="19"/>
      </c>
      <c r="BF31" s="660">
        <f t="shared" si="20"/>
      </c>
      <c r="BG31" s="660">
        <f>IF(AND(OR(Q31="",Q31=0),C31="",D31=""),"",IF(AND(OR(C31&lt;&gt;"",D31&lt;&gt;""),Q31=""),"Error 4.10.2",IF(AND(Q31&lt;&gt;"",ISNUMBER(Q31)=FALSE),"Error 1.2",IF(AND(OR(Q31&lt;10000,Q31&gt;10000000)),"Error 3.2.1",IF(ABS(('Table 3a'!BY32*2)-'Table 3a'!BZ32)&gt;50,"Error 3.7","")))))</f>
      </c>
      <c r="BH31" s="660">
        <f t="shared" si="21"/>
      </c>
      <c r="BI31" s="660">
        <f t="shared" si="22"/>
      </c>
      <c r="BJ31" s="660">
        <f t="shared" si="23"/>
      </c>
      <c r="BK31" s="660">
        <f t="shared" si="24"/>
      </c>
      <c r="BL31" s="660">
        <f t="shared" si="25"/>
      </c>
      <c r="BM31" s="663"/>
      <c r="BN31" s="660">
        <f t="shared" si="26"/>
      </c>
      <c r="BO31" s="660">
        <f t="shared" si="27"/>
      </c>
      <c r="BP31" s="660">
        <f t="shared" si="28"/>
      </c>
      <c r="BQ31" s="660">
        <f t="shared" si="29"/>
      </c>
      <c r="BR31" s="660">
        <f t="shared" si="30"/>
      </c>
      <c r="BS31" s="660">
        <f t="shared" si="31"/>
      </c>
      <c r="BT31" s="662"/>
      <c r="BU31" s="660">
        <f t="shared" si="32"/>
      </c>
      <c r="BV31" s="660">
        <f t="shared" si="33"/>
      </c>
      <c r="BW31" s="605">
        <f t="shared" si="34"/>
        <v>0</v>
      </c>
      <c r="BX31" s="660">
        <f t="shared" si="35"/>
      </c>
      <c r="BY31" s="664"/>
      <c r="BZ31" s="664"/>
      <c r="CA31" s="665"/>
      <c r="CB31" s="665"/>
      <c r="CC31" s="666"/>
      <c r="CD31" s="154"/>
      <c r="DG31" s="3"/>
    </row>
    <row r="32" spans="1:111" s="52" customFormat="1" ht="12.75">
      <c r="A32" s="681"/>
      <c r="B32" s="645">
        <f>IF('Table 3a'!B33="","",'Table 3a'!B33)</f>
        <v>24</v>
      </c>
      <c r="C32" s="644" t="str">
        <f>IF('Table 3a'!C33="","",'Table 3a'!C33)</f>
        <v>Haslucks Green School</v>
      </c>
      <c r="D32" s="645">
        <f>IF('Table 3a'!D33="","",'Table 3a'!D33)</f>
        <v>2011</v>
      </c>
      <c r="E32" s="646">
        <f>IF('Table 3a'!AC33="","",'Table 3a'!AC33)</f>
        <v>515609.26</v>
      </c>
      <c r="F32" s="646">
        <f>IF('Table 3a'!AJ33="","",'Table 3a'!AJ33)</f>
        <v>0</v>
      </c>
      <c r="G32" s="647"/>
      <c r="H32" s="646">
        <f>IF('Table 3a'!AO33="","",'Table 3a'!AO33)</f>
        <v>0</v>
      </c>
      <c r="I32" s="646">
        <f>IF('Table 3a'!AU33="","",'Table 3a'!AU33)</f>
        <v>35277</v>
      </c>
      <c r="J32" s="646">
        <f>IF('Table 3a'!AX33="","",'Table 3a'!AX33)</f>
        <v>16511</v>
      </c>
      <c r="K32" s="646">
        <f>IF('Table 3a'!BC33="","",'Table 3a'!BC33)</f>
        <v>7333</v>
      </c>
      <c r="L32" s="646">
        <f>IF('Table 3a'!BI33="","",'Table 3a'!BI33)</f>
        <v>4583</v>
      </c>
      <c r="M32" s="646">
        <f>IF('Table 3a'!BN33="","",'Table 3a'!BN33)</f>
        <v>48137</v>
      </c>
      <c r="N32" s="646">
        <f>IF('Table 3a'!BT33="","",'Table 3a'!BT33)</f>
        <v>85819</v>
      </c>
      <c r="O32" s="646">
        <f>IF('Table 3a'!BW33="","",'Table 3a'!BW33)</f>
        <v>0</v>
      </c>
      <c r="P32" s="646">
        <f>IF('Table 3a'!BX33="","",'Table 3a'!BX33)</f>
        <v>0</v>
      </c>
      <c r="Q32" s="646">
        <f t="shared" si="7"/>
        <v>713269.26</v>
      </c>
      <c r="R32" s="646">
        <f>IF('Table 3a'!AB33="","",'Table 3a'!AB33)</f>
        <v>238</v>
      </c>
      <c r="S32" s="646">
        <f t="shared" si="8"/>
        <v>2996.9296638655464</v>
      </c>
      <c r="T32" s="649" t="s">
        <v>642</v>
      </c>
      <c r="U32" s="649">
        <v>41289.00312799999</v>
      </c>
      <c r="V32" s="649">
        <v>2706</v>
      </c>
      <c r="W32" s="651"/>
      <c r="X32" s="649">
        <v>18331</v>
      </c>
      <c r="Y32" s="649">
        <v>0</v>
      </c>
      <c r="Z32" s="649">
        <v>0</v>
      </c>
      <c r="AA32" s="649">
        <v>0</v>
      </c>
      <c r="AB32" s="649">
        <v>0</v>
      </c>
      <c r="AC32" s="649">
        <f t="shared" si="9"/>
        <v>51788</v>
      </c>
      <c r="AD32" s="647"/>
      <c r="AE32" s="652"/>
      <c r="AF32" s="653"/>
      <c r="AG32" s="654"/>
      <c r="AH32" s="655"/>
      <c r="AI32" s="656"/>
      <c r="AJ32" s="657"/>
      <c r="AK32" s="658"/>
      <c r="AL32" s="658"/>
      <c r="AM32" s="658"/>
      <c r="AN32" s="657"/>
      <c r="AO32" s="658"/>
      <c r="AP32" s="658"/>
      <c r="AQ32" s="658"/>
      <c r="AR32" s="682"/>
      <c r="AS32" s="660">
        <f t="shared" si="10"/>
      </c>
      <c r="AT32" s="660">
        <f>IF(OR(OR(AND(C32="",D32&lt;&gt;""),AND(C32&lt;&gt;"",D32="")),AND(OR(SUM(Q32)&lt;&gt;0,SUM(R32)&lt;&gt;0,AND(U32&lt;&gt;"",U32&lt;&gt;0),AND(V32&lt;&gt;"",V32&lt;&gt;0),AND(W32&lt;&gt;"",W32&lt;&gt;0),AND(X32&lt;&gt;"",X32&lt;&gt;0),AND(Y32&lt;&gt;"",Y32&lt;&gt;0),AND(Z32&lt;&gt;"",Z32&lt;&gt;0),AND(AA32&lt;&gt;"",AA32&lt;&gt;0),AND(AB32&lt;&gt;"",AB32&lt;&gt;0),AND(AC32&lt;&gt;"",AC32&lt;&gt;0),AND(AD32&lt;&gt;"",AD32&lt;&gt;0),AE32&lt;&gt;"",AF32&lt;&gt;""),OR(C32="",D32=""))),"Error 2.11",IF(AND(C32&lt;&gt;"",ISNUMBER(D32)=FALSE),"Error 1.2",IF(AND(C32&lt;&gt;"",'Table 3a'!D33-INT('Table 3a'!D33)&lt;&gt;0),"Error 2.1",IF(AND(C32&lt;&gt;"",OR(D32&lt;2000,AND(D32&gt;3999,D32&lt;5200),AND(D32&gt;5299,D32&lt;5940),D32&gt;5949)),"Error 2.3",IF(AND(C32&lt;&gt;"",COUNTIF(startdfes:enddfes,D32)&gt;1),"Warning 1.2","")))))</f>
      </c>
      <c r="AU32" s="660">
        <f>IF(AND(OR(E32="",E32=0),C32="",D32=""),"",IF(AND(OR(C32&lt;&gt;"",D32&lt;&gt;""),E32=""),"Error 4.10.2",IF(AND(E32&lt;&gt;"",ISNUMBER(E32)=FALSE),"Error 1.2",IF(E32&lt;=0,"Error 1.4",IF('Table 3a'!AC33&lt;&gt;'Table 3a'!CA33,"Warning 2.7","")))))</f>
      </c>
      <c r="AV32" s="660">
        <f t="shared" si="11"/>
      </c>
      <c r="AW32" s="661"/>
      <c r="AX32" s="660">
        <f t="shared" si="12"/>
      </c>
      <c r="AY32" s="660">
        <f t="shared" si="13"/>
      </c>
      <c r="AZ32" s="660">
        <f t="shared" si="14"/>
      </c>
      <c r="BA32" s="660">
        <f t="shared" si="15"/>
      </c>
      <c r="BB32" s="660">
        <f t="shared" si="16"/>
      </c>
      <c r="BC32" s="660">
        <f t="shared" si="17"/>
      </c>
      <c r="BD32" s="660">
        <f t="shared" si="18"/>
      </c>
      <c r="BE32" s="660">
        <f t="shared" si="19"/>
      </c>
      <c r="BF32" s="660">
        <f t="shared" si="20"/>
      </c>
      <c r="BG32" s="660">
        <f>IF(AND(OR(Q32="",Q32=0),C32="",D32=""),"",IF(AND(OR(C32&lt;&gt;"",D32&lt;&gt;""),Q32=""),"Error 4.10.2",IF(AND(Q32&lt;&gt;"",ISNUMBER(Q32)=FALSE),"Error 1.2",IF(AND(OR(Q32&lt;10000,Q32&gt;10000000)),"Error 3.2.1",IF(ABS(('Table 3a'!BY33*2)-'Table 3a'!BZ33)&gt;50,"Error 3.7","")))))</f>
      </c>
      <c r="BH32" s="660">
        <f t="shared" si="21"/>
      </c>
      <c r="BI32" s="660">
        <f t="shared" si="22"/>
      </c>
      <c r="BJ32" s="660">
        <f t="shared" si="23"/>
      </c>
      <c r="BK32" s="660">
        <f t="shared" si="24"/>
      </c>
      <c r="BL32" s="660">
        <f t="shared" si="25"/>
      </c>
      <c r="BM32" s="663"/>
      <c r="BN32" s="660">
        <f t="shared" si="26"/>
      </c>
      <c r="BO32" s="660">
        <f t="shared" si="27"/>
      </c>
      <c r="BP32" s="660">
        <f t="shared" si="28"/>
      </c>
      <c r="BQ32" s="660">
        <f t="shared" si="29"/>
      </c>
      <c r="BR32" s="660">
        <f t="shared" si="30"/>
      </c>
      <c r="BS32" s="660">
        <f t="shared" si="31"/>
      </c>
      <c r="BT32" s="662"/>
      <c r="BU32" s="660">
        <f t="shared" si="32"/>
      </c>
      <c r="BV32" s="660">
        <f t="shared" si="33"/>
      </c>
      <c r="BW32" s="605">
        <f t="shared" si="34"/>
        <v>0</v>
      </c>
      <c r="BX32" s="660">
        <f t="shared" si="35"/>
      </c>
      <c r="BY32" s="664"/>
      <c r="BZ32" s="664"/>
      <c r="CA32" s="665"/>
      <c r="CB32" s="665"/>
      <c r="CC32" s="666"/>
      <c r="CD32" s="154"/>
      <c r="DG32" s="3"/>
    </row>
    <row r="33" spans="1:111" s="52" customFormat="1" ht="12.75">
      <c r="A33" s="681"/>
      <c r="B33" s="645">
        <f>IF('Table 3a'!B34="","",'Table 3a'!B34)</f>
        <v>25</v>
      </c>
      <c r="C33" s="644" t="str">
        <f>IF('Table 3a'!C34="","",'Table 3a'!C34)</f>
        <v>Hatchford Brook Junior and Infant School</v>
      </c>
      <c r="D33" s="645">
        <f>IF('Table 3a'!D34="","",'Table 3a'!D34)</f>
        <v>2012</v>
      </c>
      <c r="E33" s="646">
        <f>IF('Table 3a'!AC34="","",'Table 3a'!AC34)</f>
        <v>767592.26</v>
      </c>
      <c r="F33" s="646">
        <f>IF('Table 3a'!AJ34="","",'Table 3a'!AJ34)</f>
        <v>27416</v>
      </c>
      <c r="G33" s="647"/>
      <c r="H33" s="646">
        <f>IF('Table 3a'!AO34="","",'Table 3a'!AO34)</f>
        <v>0</v>
      </c>
      <c r="I33" s="646">
        <f>IF('Table 3a'!AU34="","",'Table 3a'!AU34)</f>
        <v>100632</v>
      </c>
      <c r="J33" s="646">
        <f>IF('Table 3a'!AX34="","",'Table 3a'!AX34)</f>
        <v>7926</v>
      </c>
      <c r="K33" s="646">
        <f>IF('Table 3a'!BC34="","",'Table 3a'!BC34)</f>
        <v>22674</v>
      </c>
      <c r="L33" s="646">
        <f>IF('Table 3a'!BI34="","",'Table 3a'!BI34)</f>
        <v>19707</v>
      </c>
      <c r="M33" s="646">
        <f>IF('Table 3a'!BN34="","",'Table 3a'!BN34)</f>
        <v>87896</v>
      </c>
      <c r="N33" s="646">
        <f>IF('Table 3a'!BT34="","",'Table 3a'!BT34)</f>
        <v>91904</v>
      </c>
      <c r="O33" s="646">
        <f>IF('Table 3a'!BW34="","",'Table 3a'!BW34)</f>
        <v>0</v>
      </c>
      <c r="P33" s="646">
        <f>IF('Table 3a'!BX34="","",'Table 3a'!BX34)</f>
        <v>0</v>
      </c>
      <c r="Q33" s="646">
        <f t="shared" si="7"/>
        <v>1125747.26</v>
      </c>
      <c r="R33" s="646">
        <f>IF('Table 3a'!AB34="","",'Table 3a'!AB34)</f>
        <v>354</v>
      </c>
      <c r="S33" s="646">
        <f t="shared" si="8"/>
        <v>3180.0770056497176</v>
      </c>
      <c r="T33" s="649" t="s">
        <v>642</v>
      </c>
      <c r="U33" s="649">
        <v>57096.07275353032</v>
      </c>
      <c r="V33" s="649">
        <v>8961</v>
      </c>
      <c r="W33" s="651"/>
      <c r="X33" s="649">
        <v>36014</v>
      </c>
      <c r="Y33" s="649">
        <v>0</v>
      </c>
      <c r="Z33" s="649">
        <v>0</v>
      </c>
      <c r="AA33" s="649">
        <v>0</v>
      </c>
      <c r="AB33" s="649">
        <v>0</v>
      </c>
      <c r="AC33" s="649">
        <f t="shared" si="9"/>
        <v>108558</v>
      </c>
      <c r="AD33" s="647"/>
      <c r="AE33" s="652"/>
      <c r="AF33" s="653"/>
      <c r="AG33" s="654"/>
      <c r="AH33" s="655"/>
      <c r="AI33" s="656"/>
      <c r="AJ33" s="657"/>
      <c r="AK33" s="658"/>
      <c r="AL33" s="658"/>
      <c r="AM33" s="658"/>
      <c r="AN33" s="657"/>
      <c r="AO33" s="658"/>
      <c r="AP33" s="658"/>
      <c r="AQ33" s="658"/>
      <c r="AR33" s="682"/>
      <c r="AS33" s="660">
        <f t="shared" si="10"/>
      </c>
      <c r="AT33" s="660">
        <f>IF(OR(OR(AND(C33="",D33&lt;&gt;""),AND(C33&lt;&gt;"",D33="")),AND(OR(SUM(Q33)&lt;&gt;0,SUM(R33)&lt;&gt;0,AND(U33&lt;&gt;"",U33&lt;&gt;0),AND(V33&lt;&gt;"",V33&lt;&gt;0),AND(W33&lt;&gt;"",W33&lt;&gt;0),AND(X33&lt;&gt;"",X33&lt;&gt;0),AND(Y33&lt;&gt;"",Y33&lt;&gt;0),AND(Z33&lt;&gt;"",Z33&lt;&gt;0),AND(AA33&lt;&gt;"",AA33&lt;&gt;0),AND(AB33&lt;&gt;"",AB33&lt;&gt;0),AND(AC33&lt;&gt;"",AC33&lt;&gt;0),AND(AD33&lt;&gt;"",AD33&lt;&gt;0),AE33&lt;&gt;"",AF33&lt;&gt;""),OR(C33="",D33=""))),"Error 2.11",IF(AND(C33&lt;&gt;"",ISNUMBER(D33)=FALSE),"Error 1.2",IF(AND(C33&lt;&gt;"",'Table 3a'!D34-INT('Table 3a'!D34)&lt;&gt;0),"Error 2.1",IF(AND(C33&lt;&gt;"",OR(D33&lt;2000,AND(D33&gt;3999,D33&lt;5200),AND(D33&gt;5299,D33&lt;5940),D33&gt;5949)),"Error 2.3",IF(AND(C33&lt;&gt;"",COUNTIF(startdfes:enddfes,D33)&gt;1),"Warning 1.2","")))))</f>
      </c>
      <c r="AU33" s="660">
        <f>IF(AND(OR(E33="",E33=0),C33="",D33=""),"",IF(AND(OR(C33&lt;&gt;"",D33&lt;&gt;""),E33=""),"Error 4.10.2",IF(AND(E33&lt;&gt;"",ISNUMBER(E33)=FALSE),"Error 1.2",IF(E33&lt;=0,"Error 1.4",IF('Table 3a'!AC34&lt;&gt;'Table 3a'!CA34,"Warning 2.7","")))))</f>
      </c>
      <c r="AV33" s="660">
        <f t="shared" si="11"/>
      </c>
      <c r="AW33" s="661"/>
      <c r="AX33" s="660">
        <f t="shared" si="12"/>
      </c>
      <c r="AY33" s="660">
        <f t="shared" si="13"/>
      </c>
      <c r="AZ33" s="660">
        <f t="shared" si="14"/>
      </c>
      <c r="BA33" s="660">
        <f t="shared" si="15"/>
      </c>
      <c r="BB33" s="660">
        <f t="shared" si="16"/>
      </c>
      <c r="BC33" s="660">
        <f t="shared" si="17"/>
      </c>
      <c r="BD33" s="660">
        <f t="shared" si="18"/>
      </c>
      <c r="BE33" s="660">
        <f t="shared" si="19"/>
      </c>
      <c r="BF33" s="660">
        <f t="shared" si="20"/>
      </c>
      <c r="BG33" s="660">
        <f>IF(AND(OR(Q33="",Q33=0),C33="",D33=""),"",IF(AND(OR(C33&lt;&gt;"",D33&lt;&gt;""),Q33=""),"Error 4.10.2",IF(AND(Q33&lt;&gt;"",ISNUMBER(Q33)=FALSE),"Error 1.2",IF(AND(OR(Q33&lt;10000,Q33&gt;10000000)),"Error 3.2.1",IF(ABS(('Table 3a'!BY34*2)-'Table 3a'!BZ34)&gt;50,"Error 3.7","")))))</f>
      </c>
      <c r="BH33" s="660">
        <f t="shared" si="21"/>
      </c>
      <c r="BI33" s="660">
        <f t="shared" si="22"/>
      </c>
      <c r="BJ33" s="660">
        <f t="shared" si="23"/>
      </c>
      <c r="BK33" s="660">
        <f t="shared" si="24"/>
      </c>
      <c r="BL33" s="660">
        <f t="shared" si="25"/>
      </c>
      <c r="BM33" s="663"/>
      <c r="BN33" s="660">
        <f t="shared" si="26"/>
      </c>
      <c r="BO33" s="660">
        <f t="shared" si="27"/>
      </c>
      <c r="BP33" s="660">
        <f t="shared" si="28"/>
      </c>
      <c r="BQ33" s="660">
        <f t="shared" si="29"/>
      </c>
      <c r="BR33" s="660">
        <f t="shared" si="30"/>
      </c>
      <c r="BS33" s="660">
        <f t="shared" si="31"/>
      </c>
      <c r="BT33" s="662"/>
      <c r="BU33" s="660">
        <f t="shared" si="32"/>
      </c>
      <c r="BV33" s="660">
        <f t="shared" si="33"/>
      </c>
      <c r="BW33" s="605">
        <f t="shared" si="34"/>
        <v>0</v>
      </c>
      <c r="BX33" s="660">
        <f t="shared" si="35"/>
      </c>
      <c r="BY33" s="664"/>
      <c r="BZ33" s="664"/>
      <c r="CA33" s="665"/>
      <c r="CB33" s="665"/>
      <c r="CC33" s="666"/>
      <c r="CD33" s="154"/>
      <c r="DG33" s="3"/>
    </row>
    <row r="34" spans="1:111" s="52" customFormat="1" ht="12.75">
      <c r="A34" s="681"/>
      <c r="B34" s="645">
        <f>IF('Table 3a'!B35="","",'Table 3a'!B35)</f>
        <v>28</v>
      </c>
      <c r="C34" s="644" t="str">
        <f>IF('Table 3a'!C35="","",'Table 3a'!C35)</f>
        <v>Kineton Green Primary School</v>
      </c>
      <c r="D34" s="645">
        <f>IF('Table 3a'!D35="","",'Table 3a'!D35)</f>
        <v>2013</v>
      </c>
      <c r="E34" s="646">
        <f>IF('Table 3a'!AC35="","",'Table 3a'!AC35)</f>
        <v>478194.29999999993</v>
      </c>
      <c r="F34" s="646">
        <f>IF('Table 3a'!AJ35="","",'Table 3a'!AJ35)</f>
        <v>37134</v>
      </c>
      <c r="G34" s="647"/>
      <c r="H34" s="646">
        <f>IF('Table 3a'!AO35="","",'Table 3a'!AO35)</f>
        <v>0</v>
      </c>
      <c r="I34" s="646">
        <f>IF('Table 3a'!AU35="","",'Table 3a'!AU35)</f>
        <v>21911</v>
      </c>
      <c r="J34" s="646">
        <f>IF('Table 3a'!AX35="","",'Table 3a'!AX35)</f>
        <v>3265</v>
      </c>
      <c r="K34" s="646">
        <f>IF('Table 3a'!BC35="","",'Table 3a'!BC35)</f>
        <v>12839</v>
      </c>
      <c r="L34" s="646">
        <f>IF('Table 3a'!BI35="","",'Table 3a'!BI35)</f>
        <v>9967</v>
      </c>
      <c r="M34" s="646">
        <f>IF('Table 3a'!BN35="","",'Table 3a'!BN35)</f>
        <v>40021</v>
      </c>
      <c r="N34" s="646">
        <f>IF('Table 3a'!BT35="","",'Table 3a'!BT35)</f>
        <v>105091</v>
      </c>
      <c r="O34" s="646">
        <f>IF('Table 3a'!BW35="","",'Table 3a'!BW35)</f>
        <v>0</v>
      </c>
      <c r="P34" s="646">
        <f>IF('Table 3a'!BX35="","",'Table 3a'!BX35)</f>
        <v>0</v>
      </c>
      <c r="Q34" s="646">
        <f t="shared" si="7"/>
        <v>708422.2999999999</v>
      </c>
      <c r="R34" s="646">
        <f>IF('Table 3a'!AB35="","",'Table 3a'!AB35)</f>
        <v>225</v>
      </c>
      <c r="S34" s="646">
        <f t="shared" si="8"/>
        <v>3148.543555555555</v>
      </c>
      <c r="T34" s="649" t="s">
        <v>642</v>
      </c>
      <c r="U34" s="649">
        <v>40244.704047352694</v>
      </c>
      <c r="V34" s="649">
        <v>2838</v>
      </c>
      <c r="W34" s="651"/>
      <c r="X34" s="649">
        <v>25393</v>
      </c>
      <c r="Y34" s="649">
        <v>0</v>
      </c>
      <c r="Z34" s="649">
        <v>0</v>
      </c>
      <c r="AA34" s="649">
        <v>0</v>
      </c>
      <c r="AB34" s="649">
        <v>0</v>
      </c>
      <c r="AC34" s="649">
        <f t="shared" si="9"/>
        <v>25176</v>
      </c>
      <c r="AD34" s="647"/>
      <c r="AE34" s="652"/>
      <c r="AF34" s="653"/>
      <c r="AG34" s="654"/>
      <c r="AH34" s="655"/>
      <c r="AI34" s="656"/>
      <c r="AJ34" s="657"/>
      <c r="AK34" s="658"/>
      <c r="AL34" s="658"/>
      <c r="AM34" s="658"/>
      <c r="AN34" s="657"/>
      <c r="AO34" s="658"/>
      <c r="AP34" s="658"/>
      <c r="AQ34" s="658"/>
      <c r="AR34" s="682"/>
      <c r="AS34" s="660">
        <f t="shared" si="10"/>
      </c>
      <c r="AT34" s="660">
        <f>IF(OR(OR(AND(C34="",D34&lt;&gt;""),AND(C34&lt;&gt;"",D34="")),AND(OR(SUM(Q34)&lt;&gt;0,SUM(R34)&lt;&gt;0,AND(U34&lt;&gt;"",U34&lt;&gt;0),AND(V34&lt;&gt;"",V34&lt;&gt;0),AND(W34&lt;&gt;"",W34&lt;&gt;0),AND(X34&lt;&gt;"",X34&lt;&gt;0),AND(Y34&lt;&gt;"",Y34&lt;&gt;0),AND(Z34&lt;&gt;"",Z34&lt;&gt;0),AND(AA34&lt;&gt;"",AA34&lt;&gt;0),AND(AB34&lt;&gt;"",AB34&lt;&gt;0),AND(AC34&lt;&gt;"",AC34&lt;&gt;0),AND(AD34&lt;&gt;"",AD34&lt;&gt;0),AE34&lt;&gt;"",AF34&lt;&gt;""),OR(C34="",D34=""))),"Error 2.11",IF(AND(C34&lt;&gt;"",ISNUMBER(D34)=FALSE),"Error 1.2",IF(AND(C34&lt;&gt;"",'Table 3a'!D35-INT('Table 3a'!D35)&lt;&gt;0),"Error 2.1",IF(AND(C34&lt;&gt;"",OR(D34&lt;2000,AND(D34&gt;3999,D34&lt;5200),AND(D34&gt;5299,D34&lt;5940),D34&gt;5949)),"Error 2.3",IF(AND(C34&lt;&gt;"",COUNTIF(startdfes:enddfes,D34)&gt;1),"Warning 1.2","")))))</f>
      </c>
      <c r="AU34" s="660">
        <f>IF(AND(OR(E34="",E34=0),C34="",D34=""),"",IF(AND(OR(C34&lt;&gt;"",D34&lt;&gt;""),E34=""),"Error 4.10.2",IF(AND(E34&lt;&gt;"",ISNUMBER(E34)=FALSE),"Error 1.2",IF(E34&lt;=0,"Error 1.4",IF('Table 3a'!AC35&lt;&gt;'Table 3a'!CA35,"Warning 2.7","")))))</f>
      </c>
      <c r="AV34" s="660">
        <f t="shared" si="11"/>
      </c>
      <c r="AW34" s="661"/>
      <c r="AX34" s="660">
        <f t="shared" si="12"/>
      </c>
      <c r="AY34" s="660">
        <f t="shared" si="13"/>
      </c>
      <c r="AZ34" s="660">
        <f t="shared" si="14"/>
      </c>
      <c r="BA34" s="660">
        <f t="shared" si="15"/>
      </c>
      <c r="BB34" s="660">
        <f t="shared" si="16"/>
      </c>
      <c r="BC34" s="660">
        <f t="shared" si="17"/>
      </c>
      <c r="BD34" s="660">
        <f t="shared" si="18"/>
      </c>
      <c r="BE34" s="660">
        <f t="shared" si="19"/>
      </c>
      <c r="BF34" s="660">
        <f t="shared" si="20"/>
      </c>
      <c r="BG34" s="660">
        <f>IF(AND(OR(Q34="",Q34=0),C34="",D34=""),"",IF(AND(OR(C34&lt;&gt;"",D34&lt;&gt;""),Q34=""),"Error 4.10.2",IF(AND(Q34&lt;&gt;"",ISNUMBER(Q34)=FALSE),"Error 1.2",IF(AND(OR(Q34&lt;10000,Q34&gt;10000000)),"Error 3.2.1",IF(ABS(('Table 3a'!BY35*2)-'Table 3a'!BZ35)&gt;50,"Error 3.7","")))))</f>
      </c>
      <c r="BH34" s="660">
        <f t="shared" si="21"/>
      </c>
      <c r="BI34" s="660">
        <f t="shared" si="22"/>
      </c>
      <c r="BJ34" s="660">
        <f t="shared" si="23"/>
      </c>
      <c r="BK34" s="660">
        <f t="shared" si="24"/>
      </c>
      <c r="BL34" s="660">
        <f t="shared" si="25"/>
      </c>
      <c r="BM34" s="663"/>
      <c r="BN34" s="660">
        <f t="shared" si="26"/>
      </c>
      <c r="BO34" s="660">
        <f t="shared" si="27"/>
      </c>
      <c r="BP34" s="660">
        <f t="shared" si="28"/>
      </c>
      <c r="BQ34" s="660">
        <f t="shared" si="29"/>
      </c>
      <c r="BR34" s="660">
        <f t="shared" si="30"/>
      </c>
      <c r="BS34" s="660">
        <f t="shared" si="31"/>
      </c>
      <c r="BT34" s="662"/>
      <c r="BU34" s="660">
        <f t="shared" si="32"/>
      </c>
      <c r="BV34" s="660">
        <f t="shared" si="33"/>
      </c>
      <c r="BW34" s="605">
        <f t="shared" si="34"/>
        <v>0</v>
      </c>
      <c r="BX34" s="660">
        <f t="shared" si="35"/>
      </c>
      <c r="BY34" s="664"/>
      <c r="BZ34" s="664"/>
      <c r="CA34" s="665"/>
      <c r="CB34" s="665"/>
      <c r="CC34" s="666"/>
      <c r="CD34" s="154"/>
      <c r="DG34" s="3"/>
    </row>
    <row r="35" spans="1:111" s="52" customFormat="1" ht="12.75">
      <c r="A35" s="681"/>
      <c r="B35" s="645">
        <f>IF('Table 3a'!B36="","",'Table 3a'!B36)</f>
        <v>44</v>
      </c>
      <c r="C35" s="644" t="str">
        <f>IF('Table 3a'!C36="","",'Table 3a'!C36)</f>
        <v>Sharmans Cross Junior School</v>
      </c>
      <c r="D35" s="645">
        <f>IF('Table 3a'!D36="","",'Table 3a'!D36)</f>
        <v>2017</v>
      </c>
      <c r="E35" s="646">
        <f>IF('Table 3a'!AC36="","",'Table 3a'!AC36)</f>
        <v>777707.03</v>
      </c>
      <c r="F35" s="646">
        <f>IF('Table 3a'!AJ36="","",'Table 3a'!AJ36)</f>
        <v>0</v>
      </c>
      <c r="G35" s="647"/>
      <c r="H35" s="646">
        <f>IF('Table 3a'!AO36="","",'Table 3a'!AO36)</f>
        <v>0</v>
      </c>
      <c r="I35" s="646">
        <f>IF('Table 3a'!AU36="","",'Table 3a'!AU36)</f>
        <v>32970</v>
      </c>
      <c r="J35" s="646">
        <f>IF('Table 3a'!AX36="","",'Table 3a'!AX36)</f>
        <v>11116</v>
      </c>
      <c r="K35" s="646">
        <f>IF('Table 3a'!BC36="","",'Table 3a'!BC36)</f>
        <v>8216</v>
      </c>
      <c r="L35" s="646">
        <f>IF('Table 3a'!BI36="","",'Table 3a'!BI36)</f>
        <v>4891</v>
      </c>
      <c r="M35" s="646">
        <f>IF('Table 3a'!BN36="","",'Table 3a'!BN36)</f>
        <v>58408</v>
      </c>
      <c r="N35" s="646">
        <f>IF('Table 3a'!BT36="","",'Table 3a'!BT36)</f>
        <v>86247</v>
      </c>
      <c r="O35" s="646">
        <f>IF('Table 3a'!BW36="","",'Table 3a'!BW36)</f>
        <v>0</v>
      </c>
      <c r="P35" s="646">
        <f>IF('Table 3a'!BX36="","",'Table 3a'!BX36)</f>
        <v>0</v>
      </c>
      <c r="Q35" s="646">
        <f t="shared" si="7"/>
        <v>979555.03</v>
      </c>
      <c r="R35" s="646">
        <f>IF('Table 3a'!AB36="","",'Table 3a'!AB36)</f>
        <v>359</v>
      </c>
      <c r="S35" s="646">
        <f t="shared" si="8"/>
        <v>2728.5655431754876</v>
      </c>
      <c r="T35" s="649" t="s">
        <v>642</v>
      </c>
      <c r="U35" s="649">
        <v>56295.37150365265</v>
      </c>
      <c r="V35" s="649">
        <v>3524</v>
      </c>
      <c r="W35" s="651"/>
      <c r="X35" s="649">
        <v>23383</v>
      </c>
      <c r="Y35" s="649">
        <v>0</v>
      </c>
      <c r="Z35" s="649">
        <v>0</v>
      </c>
      <c r="AA35" s="649">
        <v>0</v>
      </c>
      <c r="AB35" s="649">
        <v>0</v>
      </c>
      <c r="AC35" s="649">
        <f t="shared" si="9"/>
        <v>44086</v>
      </c>
      <c r="AD35" s="647"/>
      <c r="AE35" s="652"/>
      <c r="AF35" s="653"/>
      <c r="AG35" s="654"/>
      <c r="AH35" s="655"/>
      <c r="AI35" s="656"/>
      <c r="AJ35" s="657"/>
      <c r="AK35" s="658"/>
      <c r="AL35" s="658"/>
      <c r="AM35" s="658"/>
      <c r="AN35" s="657"/>
      <c r="AO35" s="658"/>
      <c r="AP35" s="658"/>
      <c r="AQ35" s="658"/>
      <c r="AR35" s="682"/>
      <c r="AS35" s="660">
        <f t="shared" si="10"/>
      </c>
      <c r="AT35" s="660">
        <f>IF(OR(OR(AND(C35="",D35&lt;&gt;""),AND(C35&lt;&gt;"",D35="")),AND(OR(SUM(Q35)&lt;&gt;0,SUM(R35)&lt;&gt;0,AND(U35&lt;&gt;"",U35&lt;&gt;0),AND(V35&lt;&gt;"",V35&lt;&gt;0),AND(W35&lt;&gt;"",W35&lt;&gt;0),AND(X35&lt;&gt;"",X35&lt;&gt;0),AND(Y35&lt;&gt;"",Y35&lt;&gt;0),AND(Z35&lt;&gt;"",Z35&lt;&gt;0),AND(AA35&lt;&gt;"",AA35&lt;&gt;0),AND(AB35&lt;&gt;"",AB35&lt;&gt;0),AND(AC35&lt;&gt;"",AC35&lt;&gt;0),AND(AD35&lt;&gt;"",AD35&lt;&gt;0),AE35&lt;&gt;"",AF35&lt;&gt;""),OR(C35="",D35=""))),"Error 2.11",IF(AND(C35&lt;&gt;"",ISNUMBER(D35)=FALSE),"Error 1.2",IF(AND(C35&lt;&gt;"",'Table 3a'!D36-INT('Table 3a'!D36)&lt;&gt;0),"Error 2.1",IF(AND(C35&lt;&gt;"",OR(D35&lt;2000,AND(D35&gt;3999,D35&lt;5200),AND(D35&gt;5299,D35&lt;5940),D35&gt;5949)),"Error 2.3",IF(AND(C35&lt;&gt;"",COUNTIF(startdfes:enddfes,D35)&gt;1),"Warning 1.2","")))))</f>
      </c>
      <c r="AU35" s="660">
        <f>IF(AND(OR(E35="",E35=0),C35="",D35=""),"",IF(AND(OR(C35&lt;&gt;"",D35&lt;&gt;""),E35=""),"Error 4.10.2",IF(AND(E35&lt;&gt;"",ISNUMBER(E35)=FALSE),"Error 1.2",IF(E35&lt;=0,"Error 1.4",IF('Table 3a'!AC36&lt;&gt;'Table 3a'!CA36,"Warning 2.7","")))))</f>
      </c>
      <c r="AV35" s="660">
        <f t="shared" si="11"/>
      </c>
      <c r="AW35" s="661"/>
      <c r="AX35" s="660">
        <f t="shared" si="12"/>
      </c>
      <c r="AY35" s="660">
        <f t="shared" si="13"/>
      </c>
      <c r="AZ35" s="660">
        <f t="shared" si="14"/>
      </c>
      <c r="BA35" s="660">
        <f t="shared" si="15"/>
      </c>
      <c r="BB35" s="660">
        <f t="shared" si="16"/>
      </c>
      <c r="BC35" s="660">
        <f t="shared" si="17"/>
      </c>
      <c r="BD35" s="660">
        <f t="shared" si="18"/>
      </c>
      <c r="BE35" s="660">
        <f t="shared" si="19"/>
      </c>
      <c r="BF35" s="660">
        <f t="shared" si="20"/>
      </c>
      <c r="BG35" s="660">
        <f>IF(AND(OR(Q35="",Q35=0),C35="",D35=""),"",IF(AND(OR(C35&lt;&gt;"",D35&lt;&gt;""),Q35=""),"Error 4.10.2",IF(AND(Q35&lt;&gt;"",ISNUMBER(Q35)=FALSE),"Error 1.2",IF(AND(OR(Q35&lt;10000,Q35&gt;10000000)),"Error 3.2.1",IF(ABS(('Table 3a'!BY36*2)-'Table 3a'!BZ36)&gt;50,"Error 3.7","")))))</f>
      </c>
      <c r="BH35" s="660">
        <f t="shared" si="21"/>
      </c>
      <c r="BI35" s="660">
        <f t="shared" si="22"/>
      </c>
      <c r="BJ35" s="660">
        <f t="shared" si="23"/>
      </c>
      <c r="BK35" s="660">
        <f t="shared" si="24"/>
      </c>
      <c r="BL35" s="660">
        <f t="shared" si="25"/>
      </c>
      <c r="BM35" s="663"/>
      <c r="BN35" s="660">
        <f t="shared" si="26"/>
      </c>
      <c r="BO35" s="660">
        <f t="shared" si="27"/>
      </c>
      <c r="BP35" s="660">
        <f t="shared" si="28"/>
      </c>
      <c r="BQ35" s="660">
        <f t="shared" si="29"/>
      </c>
      <c r="BR35" s="660">
        <f t="shared" si="30"/>
      </c>
      <c r="BS35" s="660">
        <f t="shared" si="31"/>
      </c>
      <c r="BT35" s="662"/>
      <c r="BU35" s="660">
        <f t="shared" si="32"/>
      </c>
      <c r="BV35" s="660">
        <f t="shared" si="33"/>
      </c>
      <c r="BW35" s="605">
        <f t="shared" si="34"/>
        <v>0</v>
      </c>
      <c r="BX35" s="660">
        <f t="shared" si="35"/>
      </c>
      <c r="BY35" s="664"/>
      <c r="BZ35" s="664"/>
      <c r="CA35" s="665"/>
      <c r="CB35" s="665"/>
      <c r="CC35" s="666"/>
      <c r="CD35" s="154"/>
      <c r="DG35" s="3"/>
    </row>
    <row r="36" spans="1:111" s="52" customFormat="1" ht="12.75">
      <c r="A36" s="681"/>
      <c r="B36" s="645">
        <f>IF('Table 3a'!B37="","",'Table 3a'!B37)</f>
        <v>45</v>
      </c>
      <c r="C36" s="644" t="str">
        <f>IF('Table 3a'!C37="","",'Table 3a'!C37)</f>
        <v>Shirley Heath Junior School</v>
      </c>
      <c r="D36" s="645">
        <f>IF('Table 3a'!D37="","",'Table 3a'!D37)</f>
        <v>2019</v>
      </c>
      <c r="E36" s="646">
        <f>IF('Table 3a'!AC37="","",'Table 3a'!AC37)</f>
        <v>631996.6000000001</v>
      </c>
      <c r="F36" s="646">
        <f>IF('Table 3a'!AJ37="","",'Table 3a'!AJ37)</f>
        <v>0</v>
      </c>
      <c r="G36" s="647"/>
      <c r="H36" s="646">
        <f>IF('Table 3a'!AO37="","",'Table 3a'!AO37)</f>
        <v>0</v>
      </c>
      <c r="I36" s="646">
        <f>IF('Table 3a'!AU37="","",'Table 3a'!AU37)</f>
        <v>47691</v>
      </c>
      <c r="J36" s="646">
        <f>IF('Table 3a'!AX37="","",'Table 3a'!AX37)</f>
        <v>15110</v>
      </c>
      <c r="K36" s="646">
        <f>IF('Table 3a'!BC37="","",'Table 3a'!BC37)</f>
        <v>14410</v>
      </c>
      <c r="L36" s="646">
        <f>IF('Table 3a'!BI37="","",'Table 3a'!BI37)</f>
        <v>10720</v>
      </c>
      <c r="M36" s="646">
        <f>IF('Table 3a'!BN37="","",'Table 3a'!BN37)</f>
        <v>60532</v>
      </c>
      <c r="N36" s="646">
        <f>IF('Table 3a'!BT37="","",'Table 3a'!BT37)</f>
        <v>87378</v>
      </c>
      <c r="O36" s="646">
        <f>IF('Table 3a'!BW37="","",'Table 3a'!BW37)</f>
        <v>0</v>
      </c>
      <c r="P36" s="646">
        <f>IF('Table 3a'!BX37="","",'Table 3a'!BX37)</f>
        <v>0</v>
      </c>
      <c r="Q36" s="646">
        <f t="shared" si="7"/>
        <v>867837.6000000001</v>
      </c>
      <c r="R36" s="646">
        <f>IF('Table 3a'!AB37="","",'Table 3a'!AB37)</f>
        <v>292</v>
      </c>
      <c r="S36" s="646">
        <f t="shared" si="8"/>
        <v>2972.046575342466</v>
      </c>
      <c r="T36" s="649" t="s">
        <v>642</v>
      </c>
      <c r="U36" s="649">
        <v>47778.56595497594</v>
      </c>
      <c r="V36" s="649">
        <v>4722</v>
      </c>
      <c r="W36" s="651"/>
      <c r="X36" s="649">
        <v>22665</v>
      </c>
      <c r="Y36" s="649">
        <v>0</v>
      </c>
      <c r="Z36" s="649">
        <v>0</v>
      </c>
      <c r="AA36" s="649">
        <v>0</v>
      </c>
      <c r="AB36" s="649">
        <v>0</v>
      </c>
      <c r="AC36" s="649">
        <f t="shared" si="9"/>
        <v>62801</v>
      </c>
      <c r="AD36" s="647"/>
      <c r="AE36" s="652"/>
      <c r="AF36" s="653"/>
      <c r="AG36" s="654"/>
      <c r="AH36" s="655"/>
      <c r="AI36" s="656"/>
      <c r="AJ36" s="657"/>
      <c r="AK36" s="658"/>
      <c r="AL36" s="658"/>
      <c r="AM36" s="658"/>
      <c r="AN36" s="657"/>
      <c r="AO36" s="658"/>
      <c r="AP36" s="658"/>
      <c r="AQ36" s="658"/>
      <c r="AR36" s="682"/>
      <c r="AS36" s="660">
        <f t="shared" si="10"/>
      </c>
      <c r="AT36" s="660">
        <f>IF(OR(OR(AND(C36="",D36&lt;&gt;""),AND(C36&lt;&gt;"",D36="")),AND(OR(SUM(Q36)&lt;&gt;0,SUM(R36)&lt;&gt;0,AND(U36&lt;&gt;"",U36&lt;&gt;0),AND(V36&lt;&gt;"",V36&lt;&gt;0),AND(W36&lt;&gt;"",W36&lt;&gt;0),AND(X36&lt;&gt;"",X36&lt;&gt;0),AND(Y36&lt;&gt;"",Y36&lt;&gt;0),AND(Z36&lt;&gt;"",Z36&lt;&gt;0),AND(AA36&lt;&gt;"",AA36&lt;&gt;0),AND(AB36&lt;&gt;"",AB36&lt;&gt;0),AND(AC36&lt;&gt;"",AC36&lt;&gt;0),AND(AD36&lt;&gt;"",AD36&lt;&gt;0),AE36&lt;&gt;"",AF36&lt;&gt;""),OR(C36="",D36=""))),"Error 2.11",IF(AND(C36&lt;&gt;"",ISNUMBER(D36)=FALSE),"Error 1.2",IF(AND(C36&lt;&gt;"",'Table 3a'!D37-INT('Table 3a'!D37)&lt;&gt;0),"Error 2.1",IF(AND(C36&lt;&gt;"",OR(D36&lt;2000,AND(D36&gt;3999,D36&lt;5200),AND(D36&gt;5299,D36&lt;5940),D36&gt;5949)),"Error 2.3",IF(AND(C36&lt;&gt;"",COUNTIF(startdfes:enddfes,D36)&gt;1),"Warning 1.2","")))))</f>
      </c>
      <c r="AU36" s="660">
        <f>IF(AND(OR(E36="",E36=0),C36="",D36=""),"",IF(AND(OR(C36&lt;&gt;"",D36&lt;&gt;""),E36=""),"Error 4.10.2",IF(AND(E36&lt;&gt;"",ISNUMBER(E36)=FALSE),"Error 1.2",IF(E36&lt;=0,"Error 1.4",IF('Table 3a'!AC37&lt;&gt;'Table 3a'!CA37,"Warning 2.7","")))))</f>
      </c>
      <c r="AV36" s="660">
        <f t="shared" si="11"/>
      </c>
      <c r="AW36" s="661"/>
      <c r="AX36" s="660">
        <f t="shared" si="12"/>
      </c>
      <c r="AY36" s="660">
        <f t="shared" si="13"/>
      </c>
      <c r="AZ36" s="660">
        <f t="shared" si="14"/>
      </c>
      <c r="BA36" s="660">
        <f t="shared" si="15"/>
      </c>
      <c r="BB36" s="660">
        <f t="shared" si="16"/>
      </c>
      <c r="BC36" s="660">
        <f t="shared" si="17"/>
      </c>
      <c r="BD36" s="660">
        <f t="shared" si="18"/>
      </c>
      <c r="BE36" s="660">
        <f t="shared" si="19"/>
      </c>
      <c r="BF36" s="660">
        <f t="shared" si="20"/>
      </c>
      <c r="BG36" s="660">
        <f>IF(AND(OR(Q36="",Q36=0),C36="",D36=""),"",IF(AND(OR(C36&lt;&gt;"",D36&lt;&gt;""),Q36=""),"Error 4.10.2",IF(AND(Q36&lt;&gt;"",ISNUMBER(Q36)=FALSE),"Error 1.2",IF(AND(OR(Q36&lt;10000,Q36&gt;10000000)),"Error 3.2.1",IF(ABS(('Table 3a'!BY37*2)-'Table 3a'!BZ37)&gt;50,"Error 3.7","")))))</f>
      </c>
      <c r="BH36" s="660">
        <f t="shared" si="21"/>
      </c>
      <c r="BI36" s="660">
        <f t="shared" si="22"/>
      </c>
      <c r="BJ36" s="660">
        <f t="shared" si="23"/>
      </c>
      <c r="BK36" s="660">
        <f t="shared" si="24"/>
      </c>
      <c r="BL36" s="660">
        <f t="shared" si="25"/>
      </c>
      <c r="BM36" s="663"/>
      <c r="BN36" s="660">
        <f t="shared" si="26"/>
      </c>
      <c r="BO36" s="660">
        <f t="shared" si="27"/>
      </c>
      <c r="BP36" s="660">
        <f t="shared" si="28"/>
      </c>
      <c r="BQ36" s="660">
        <f t="shared" si="29"/>
      </c>
      <c r="BR36" s="660">
        <f t="shared" si="30"/>
      </c>
      <c r="BS36" s="660">
        <f t="shared" si="31"/>
      </c>
      <c r="BT36" s="662"/>
      <c r="BU36" s="660">
        <f t="shared" si="32"/>
      </c>
      <c r="BV36" s="660">
        <f t="shared" si="33"/>
      </c>
      <c r="BW36" s="605">
        <f t="shared" si="34"/>
        <v>0</v>
      </c>
      <c r="BX36" s="660">
        <f t="shared" si="35"/>
      </c>
      <c r="BY36" s="664"/>
      <c r="BZ36" s="664"/>
      <c r="CA36" s="665"/>
      <c r="CB36" s="665"/>
      <c r="CC36" s="666"/>
      <c r="CD36" s="154"/>
      <c r="DG36" s="3"/>
    </row>
    <row r="37" spans="1:111" s="52" customFormat="1" ht="12.75">
      <c r="A37" s="681"/>
      <c r="B37" s="645">
        <f>IF('Table 3a'!B38="","",'Table 3a'!B38)</f>
        <v>59</v>
      </c>
      <c r="C37" s="644" t="str">
        <f>IF('Table 3a'!C38="","",'Table 3a'!C38)</f>
        <v>Streetsbrook Infant and Nursery School</v>
      </c>
      <c r="D37" s="645">
        <f>IF('Table 3a'!D38="","",'Table 3a'!D38)</f>
        <v>2020</v>
      </c>
      <c r="E37" s="646">
        <f>IF('Table 3a'!AC38="","",'Table 3a'!AC38)</f>
        <v>435446.87999999995</v>
      </c>
      <c r="F37" s="646">
        <f>IF('Table 3a'!AJ38="","",'Table 3a'!AJ38)</f>
        <v>74268</v>
      </c>
      <c r="G37" s="647"/>
      <c r="H37" s="646">
        <f>IF('Table 3a'!AO38="","",'Table 3a'!AO38)</f>
        <v>0</v>
      </c>
      <c r="I37" s="646">
        <f>IF('Table 3a'!AU38="","",'Table 3a'!AU38)</f>
        <v>25610</v>
      </c>
      <c r="J37" s="646">
        <f>IF('Table 3a'!AX38="","",'Table 3a'!AX38)</f>
        <v>3265</v>
      </c>
      <c r="K37" s="646">
        <f>IF('Table 3a'!BC38="","",'Table 3a'!BC38)</f>
        <v>8762</v>
      </c>
      <c r="L37" s="646">
        <f>IF('Table 3a'!BI38="","",'Table 3a'!BI38)</f>
        <v>3213</v>
      </c>
      <c r="M37" s="646">
        <f>IF('Table 3a'!BN38="","",'Table 3a'!BN38)</f>
        <v>45127</v>
      </c>
      <c r="N37" s="646">
        <f>IF('Table 3a'!BT38="","",'Table 3a'!BT38)</f>
        <v>86667</v>
      </c>
      <c r="O37" s="646">
        <f>IF('Table 3a'!BW38="","",'Table 3a'!BW38)</f>
        <v>0</v>
      </c>
      <c r="P37" s="646">
        <f>IF('Table 3a'!BX38="","",'Table 3a'!BX38)</f>
        <v>0</v>
      </c>
      <c r="Q37" s="646">
        <f t="shared" si="7"/>
        <v>682358.8799999999</v>
      </c>
      <c r="R37" s="646">
        <f>IF('Table 3a'!AB38="","",'Table 3a'!AB38)</f>
        <v>204</v>
      </c>
      <c r="S37" s="646">
        <f t="shared" si="8"/>
        <v>3344.896470588235</v>
      </c>
      <c r="T37" s="649" t="s">
        <v>642</v>
      </c>
      <c r="U37" s="649">
        <v>37100.38298090604</v>
      </c>
      <c r="V37" s="649">
        <v>1584</v>
      </c>
      <c r="W37" s="651"/>
      <c r="X37" s="649">
        <v>15825</v>
      </c>
      <c r="Y37" s="649">
        <v>0</v>
      </c>
      <c r="Z37" s="649">
        <v>0</v>
      </c>
      <c r="AA37" s="649">
        <v>0</v>
      </c>
      <c r="AB37" s="649">
        <v>0</v>
      </c>
      <c r="AC37" s="649">
        <f t="shared" si="9"/>
        <v>28875</v>
      </c>
      <c r="AD37" s="647"/>
      <c r="AE37" s="652"/>
      <c r="AF37" s="653"/>
      <c r="AG37" s="654"/>
      <c r="AH37" s="655"/>
      <c r="AI37" s="656"/>
      <c r="AJ37" s="657"/>
      <c r="AK37" s="658"/>
      <c r="AL37" s="658"/>
      <c r="AM37" s="658"/>
      <c r="AN37" s="657"/>
      <c r="AO37" s="658"/>
      <c r="AP37" s="658"/>
      <c r="AQ37" s="658"/>
      <c r="AR37" s="682"/>
      <c r="AS37" s="660">
        <f t="shared" si="10"/>
      </c>
      <c r="AT37" s="660">
        <f>IF(OR(OR(AND(C37="",D37&lt;&gt;""),AND(C37&lt;&gt;"",D37="")),AND(OR(SUM(Q37)&lt;&gt;0,SUM(R37)&lt;&gt;0,AND(U37&lt;&gt;"",U37&lt;&gt;0),AND(V37&lt;&gt;"",V37&lt;&gt;0),AND(W37&lt;&gt;"",W37&lt;&gt;0),AND(X37&lt;&gt;"",X37&lt;&gt;0),AND(Y37&lt;&gt;"",Y37&lt;&gt;0),AND(Z37&lt;&gt;"",Z37&lt;&gt;0),AND(AA37&lt;&gt;"",AA37&lt;&gt;0),AND(AB37&lt;&gt;"",AB37&lt;&gt;0),AND(AC37&lt;&gt;"",AC37&lt;&gt;0),AND(AD37&lt;&gt;"",AD37&lt;&gt;0),AE37&lt;&gt;"",AF37&lt;&gt;""),OR(C37="",D37=""))),"Error 2.11",IF(AND(C37&lt;&gt;"",ISNUMBER(D37)=FALSE),"Error 1.2",IF(AND(C37&lt;&gt;"",'Table 3a'!D38-INT('Table 3a'!D38)&lt;&gt;0),"Error 2.1",IF(AND(C37&lt;&gt;"",OR(D37&lt;2000,AND(D37&gt;3999,D37&lt;5200),AND(D37&gt;5299,D37&lt;5940),D37&gt;5949)),"Error 2.3",IF(AND(C37&lt;&gt;"",COUNTIF(startdfes:enddfes,D37)&gt;1),"Warning 1.2","")))))</f>
      </c>
      <c r="AU37" s="660">
        <f>IF(AND(OR(E37="",E37=0),C37="",D37=""),"",IF(AND(OR(C37&lt;&gt;"",D37&lt;&gt;""),E37=""),"Error 4.10.2",IF(AND(E37&lt;&gt;"",ISNUMBER(E37)=FALSE),"Error 1.2",IF(E37&lt;=0,"Error 1.4",IF('Table 3a'!AC38&lt;&gt;'Table 3a'!CA38,"Warning 2.7","")))))</f>
      </c>
      <c r="AV37" s="660">
        <f t="shared" si="11"/>
      </c>
      <c r="AW37" s="661"/>
      <c r="AX37" s="660">
        <f t="shared" si="12"/>
      </c>
      <c r="AY37" s="660">
        <f t="shared" si="13"/>
      </c>
      <c r="AZ37" s="660">
        <f t="shared" si="14"/>
      </c>
      <c r="BA37" s="660">
        <f t="shared" si="15"/>
      </c>
      <c r="BB37" s="660">
        <f t="shared" si="16"/>
      </c>
      <c r="BC37" s="660">
        <f t="shared" si="17"/>
      </c>
      <c r="BD37" s="660">
        <f t="shared" si="18"/>
      </c>
      <c r="BE37" s="660">
        <f t="shared" si="19"/>
      </c>
      <c r="BF37" s="660">
        <f t="shared" si="20"/>
      </c>
      <c r="BG37" s="660">
        <f>IF(AND(OR(Q37="",Q37=0),C37="",D37=""),"",IF(AND(OR(C37&lt;&gt;"",D37&lt;&gt;""),Q37=""),"Error 4.10.2",IF(AND(Q37&lt;&gt;"",ISNUMBER(Q37)=FALSE),"Error 1.2",IF(AND(OR(Q37&lt;10000,Q37&gt;10000000)),"Error 3.2.1",IF(ABS(('Table 3a'!BY38*2)-'Table 3a'!BZ38)&gt;50,"Error 3.7","")))))</f>
      </c>
      <c r="BH37" s="660">
        <f t="shared" si="21"/>
      </c>
      <c r="BI37" s="660">
        <f t="shared" si="22"/>
      </c>
      <c r="BJ37" s="660">
        <f t="shared" si="23"/>
      </c>
      <c r="BK37" s="660">
        <f t="shared" si="24"/>
      </c>
      <c r="BL37" s="660">
        <f t="shared" si="25"/>
      </c>
      <c r="BM37" s="663"/>
      <c r="BN37" s="660">
        <f t="shared" si="26"/>
      </c>
      <c r="BO37" s="660">
        <f t="shared" si="27"/>
      </c>
      <c r="BP37" s="660">
        <f t="shared" si="28"/>
      </c>
      <c r="BQ37" s="660">
        <f t="shared" si="29"/>
      </c>
      <c r="BR37" s="660">
        <f t="shared" si="30"/>
      </c>
      <c r="BS37" s="660">
        <f t="shared" si="31"/>
      </c>
      <c r="BT37" s="662"/>
      <c r="BU37" s="660">
        <f t="shared" si="32"/>
      </c>
      <c r="BV37" s="660">
        <f t="shared" si="33"/>
      </c>
      <c r="BW37" s="605">
        <f t="shared" si="34"/>
        <v>0</v>
      </c>
      <c r="BX37" s="660">
        <f t="shared" si="35"/>
      </c>
      <c r="BY37" s="664"/>
      <c r="BZ37" s="664"/>
      <c r="CA37" s="665"/>
      <c r="CB37" s="665"/>
      <c r="CC37" s="666"/>
      <c r="CD37" s="154"/>
      <c r="DG37" s="3"/>
    </row>
    <row r="38" spans="1:111" s="52" customFormat="1" ht="12.75">
      <c r="A38" s="681"/>
      <c r="B38" s="645">
        <f>IF('Table 3a'!B39="","",'Table 3a'!B39)</f>
        <v>62</v>
      </c>
      <c r="C38" s="644" t="str">
        <f>IF('Table 3a'!C39="","",'Table 3a'!C39)</f>
        <v>Valley Infant School</v>
      </c>
      <c r="D38" s="645">
        <f>IF('Table 3a'!D39="","",'Table 3a'!D39)</f>
        <v>2024</v>
      </c>
      <c r="E38" s="646">
        <f>IF('Table 3a'!AC39="","",'Table 3a'!AC39)</f>
        <v>405675.98000000004</v>
      </c>
      <c r="F38" s="646">
        <f>IF('Table 3a'!AJ39="","",'Table 3a'!AJ39)</f>
        <v>76628</v>
      </c>
      <c r="G38" s="647"/>
      <c r="H38" s="646">
        <f>IF('Table 3a'!AO39="","",'Table 3a'!AO39)</f>
        <v>0</v>
      </c>
      <c r="I38" s="646">
        <f>IF('Table 3a'!AU39="","",'Table 3a'!AU39)</f>
        <v>10958</v>
      </c>
      <c r="J38" s="646">
        <f>IF('Table 3a'!AX39="","",'Table 3a'!AX39)</f>
        <v>3265</v>
      </c>
      <c r="K38" s="646">
        <f>IF('Table 3a'!BC39="","",'Table 3a'!BC39)</f>
        <v>8210</v>
      </c>
      <c r="L38" s="646">
        <f>IF('Table 3a'!BI39="","",'Table 3a'!BI39)</f>
        <v>6867</v>
      </c>
      <c r="M38" s="646">
        <f>IF('Table 3a'!BN39="","",'Table 3a'!BN39)</f>
        <v>38129</v>
      </c>
      <c r="N38" s="646">
        <f>IF('Table 3a'!BT39="","",'Table 3a'!BT39)</f>
        <v>93098</v>
      </c>
      <c r="O38" s="646">
        <f>IF('Table 3a'!BW39="","",'Table 3a'!BW39)</f>
        <v>0</v>
      </c>
      <c r="P38" s="646">
        <f>IF('Table 3a'!BX39="","",'Table 3a'!BX39)</f>
        <v>0</v>
      </c>
      <c r="Q38" s="646">
        <f t="shared" si="7"/>
        <v>642830.98</v>
      </c>
      <c r="R38" s="646">
        <f>IF('Table 3a'!AB39="","",'Table 3a'!AB39)</f>
        <v>196</v>
      </c>
      <c r="S38" s="646">
        <f t="shared" si="8"/>
        <v>3279.7498979591837</v>
      </c>
      <c r="T38" s="649" t="s">
        <v>642</v>
      </c>
      <c r="U38" s="649">
        <v>38426.59162104504</v>
      </c>
      <c r="V38" s="649">
        <v>1702</v>
      </c>
      <c r="W38" s="651"/>
      <c r="X38" s="649">
        <v>16040</v>
      </c>
      <c r="Y38" s="649">
        <v>0</v>
      </c>
      <c r="Z38" s="649">
        <v>0</v>
      </c>
      <c r="AA38" s="649">
        <v>0</v>
      </c>
      <c r="AB38" s="649">
        <v>0</v>
      </c>
      <c r="AC38" s="649">
        <f t="shared" si="9"/>
        <v>14223</v>
      </c>
      <c r="AD38" s="647"/>
      <c r="AE38" s="652"/>
      <c r="AF38" s="653"/>
      <c r="AG38" s="654"/>
      <c r="AH38" s="655"/>
      <c r="AI38" s="656"/>
      <c r="AJ38" s="657"/>
      <c r="AK38" s="658"/>
      <c r="AL38" s="658"/>
      <c r="AM38" s="658"/>
      <c r="AN38" s="657"/>
      <c r="AO38" s="658"/>
      <c r="AP38" s="658"/>
      <c r="AQ38" s="658"/>
      <c r="AR38" s="682"/>
      <c r="AS38" s="660">
        <f t="shared" si="10"/>
      </c>
      <c r="AT38" s="660">
        <f>IF(OR(OR(AND(C38="",D38&lt;&gt;""),AND(C38&lt;&gt;"",D38="")),AND(OR(SUM(Q38)&lt;&gt;0,SUM(R38)&lt;&gt;0,AND(U38&lt;&gt;"",U38&lt;&gt;0),AND(V38&lt;&gt;"",V38&lt;&gt;0),AND(W38&lt;&gt;"",W38&lt;&gt;0),AND(X38&lt;&gt;"",X38&lt;&gt;0),AND(Y38&lt;&gt;"",Y38&lt;&gt;0),AND(Z38&lt;&gt;"",Z38&lt;&gt;0),AND(AA38&lt;&gt;"",AA38&lt;&gt;0),AND(AB38&lt;&gt;"",AB38&lt;&gt;0),AND(AC38&lt;&gt;"",AC38&lt;&gt;0),AND(AD38&lt;&gt;"",AD38&lt;&gt;0),AE38&lt;&gt;"",AF38&lt;&gt;""),OR(C38="",D38=""))),"Error 2.11",IF(AND(C38&lt;&gt;"",ISNUMBER(D38)=FALSE),"Error 1.2",IF(AND(C38&lt;&gt;"",'Table 3a'!D39-INT('Table 3a'!D39)&lt;&gt;0),"Error 2.1",IF(AND(C38&lt;&gt;"",OR(D38&lt;2000,AND(D38&gt;3999,D38&lt;5200),AND(D38&gt;5299,D38&lt;5940),D38&gt;5949)),"Error 2.3",IF(AND(C38&lt;&gt;"",COUNTIF(startdfes:enddfes,D38)&gt;1),"Warning 1.2","")))))</f>
      </c>
      <c r="AU38" s="660">
        <f>IF(AND(OR(E38="",E38=0),C38="",D38=""),"",IF(AND(OR(C38&lt;&gt;"",D38&lt;&gt;""),E38=""),"Error 4.10.2",IF(AND(E38&lt;&gt;"",ISNUMBER(E38)=FALSE),"Error 1.2",IF(E38&lt;=0,"Error 1.4",IF('Table 3a'!AC39&lt;&gt;'Table 3a'!CA39,"Warning 2.7","")))))</f>
      </c>
      <c r="AV38" s="660">
        <f t="shared" si="11"/>
      </c>
      <c r="AW38" s="661"/>
      <c r="AX38" s="660">
        <f t="shared" si="12"/>
      </c>
      <c r="AY38" s="660">
        <f t="shared" si="13"/>
      </c>
      <c r="AZ38" s="660">
        <f t="shared" si="14"/>
      </c>
      <c r="BA38" s="660">
        <f t="shared" si="15"/>
      </c>
      <c r="BB38" s="660">
        <f t="shared" si="16"/>
      </c>
      <c r="BC38" s="660">
        <f t="shared" si="17"/>
      </c>
      <c r="BD38" s="660">
        <f t="shared" si="18"/>
      </c>
      <c r="BE38" s="660">
        <f t="shared" si="19"/>
      </c>
      <c r="BF38" s="660">
        <f t="shared" si="20"/>
      </c>
      <c r="BG38" s="660">
        <f>IF(AND(OR(Q38="",Q38=0),C38="",D38=""),"",IF(AND(OR(C38&lt;&gt;"",D38&lt;&gt;""),Q38=""),"Error 4.10.2",IF(AND(Q38&lt;&gt;"",ISNUMBER(Q38)=FALSE),"Error 1.2",IF(AND(OR(Q38&lt;10000,Q38&gt;10000000)),"Error 3.2.1",IF(ABS(('Table 3a'!BY39*2)-'Table 3a'!BZ39)&gt;50,"Error 3.7","")))))</f>
      </c>
      <c r="BH38" s="660">
        <f t="shared" si="21"/>
      </c>
      <c r="BI38" s="660">
        <f t="shared" si="22"/>
      </c>
      <c r="BJ38" s="660">
        <f t="shared" si="23"/>
      </c>
      <c r="BK38" s="660">
        <f t="shared" si="24"/>
      </c>
      <c r="BL38" s="660">
        <f t="shared" si="25"/>
      </c>
      <c r="BM38" s="663"/>
      <c r="BN38" s="660">
        <f t="shared" si="26"/>
      </c>
      <c r="BO38" s="660">
        <f t="shared" si="27"/>
      </c>
      <c r="BP38" s="660">
        <f t="shared" si="28"/>
      </c>
      <c r="BQ38" s="660">
        <f t="shared" si="29"/>
      </c>
      <c r="BR38" s="660">
        <f t="shared" si="30"/>
      </c>
      <c r="BS38" s="660">
        <f t="shared" si="31"/>
      </c>
      <c r="BT38" s="662"/>
      <c r="BU38" s="660">
        <f t="shared" si="32"/>
      </c>
      <c r="BV38" s="660">
        <f t="shared" si="33"/>
      </c>
      <c r="BW38" s="605">
        <f t="shared" si="34"/>
        <v>0</v>
      </c>
      <c r="BX38" s="660">
        <f t="shared" si="35"/>
      </c>
      <c r="BY38" s="664"/>
      <c r="BZ38" s="664"/>
      <c r="CA38" s="665"/>
      <c r="CB38" s="665"/>
      <c r="CC38" s="666"/>
      <c r="CD38" s="154"/>
      <c r="DG38" s="3"/>
    </row>
    <row r="39" spans="1:111" s="52" customFormat="1" ht="12.75">
      <c r="A39" s="681"/>
      <c r="B39" s="645">
        <f>IF('Table 3a'!B40="","",'Table 3a'!B40)</f>
        <v>65</v>
      </c>
      <c r="C39" s="644" t="str">
        <f>IF('Table 3a'!C40="","",'Table 3a'!C40)</f>
        <v>Woodlands Infant School</v>
      </c>
      <c r="D39" s="645">
        <f>IF('Table 3a'!D40="","",'Table 3a'!D40)</f>
        <v>2026</v>
      </c>
      <c r="E39" s="646">
        <f>IF('Table 3a'!AC40="","",'Table 3a'!AC40)</f>
        <v>388105.62</v>
      </c>
      <c r="F39" s="646">
        <f>IF('Table 3a'!AJ40="","",'Table 3a'!AJ40)</f>
        <v>65454</v>
      </c>
      <c r="G39" s="647"/>
      <c r="H39" s="646">
        <f>IF('Table 3a'!AO40="","",'Table 3a'!AO40)</f>
        <v>0</v>
      </c>
      <c r="I39" s="646">
        <f>IF('Table 3a'!AU40="","",'Table 3a'!AU40)</f>
        <v>14788</v>
      </c>
      <c r="J39" s="646">
        <f>IF('Table 3a'!AX40="","",'Table 3a'!AX40)</f>
        <v>3265</v>
      </c>
      <c r="K39" s="646">
        <f>IF('Table 3a'!BC40="","",'Table 3a'!BC40)</f>
        <v>7561</v>
      </c>
      <c r="L39" s="646">
        <f>IF('Table 3a'!BI40="","",'Table 3a'!BI40)</f>
        <v>6747</v>
      </c>
      <c r="M39" s="646">
        <f>IF('Table 3a'!BN40="","",'Table 3a'!BN40)</f>
        <v>37500</v>
      </c>
      <c r="N39" s="646">
        <f>IF('Table 3a'!BT40="","",'Table 3a'!BT40)</f>
        <v>98584</v>
      </c>
      <c r="O39" s="646">
        <f>IF('Table 3a'!BW40="","",'Table 3a'!BW40)</f>
        <v>0</v>
      </c>
      <c r="P39" s="646">
        <f>IF('Table 3a'!BX40="","",'Table 3a'!BX40)</f>
        <v>0</v>
      </c>
      <c r="Q39" s="646">
        <f t="shared" si="7"/>
        <v>622004.62</v>
      </c>
      <c r="R39" s="646">
        <f>IF('Table 3a'!AB40="","",'Table 3a'!AB40)</f>
        <v>176.5</v>
      </c>
      <c r="S39" s="646">
        <f t="shared" si="8"/>
        <v>3524.105495750708</v>
      </c>
      <c r="T39" s="649" t="s">
        <v>642</v>
      </c>
      <c r="U39" s="649">
        <v>36962.02065667064</v>
      </c>
      <c r="V39" s="649">
        <v>1708</v>
      </c>
      <c r="W39" s="651"/>
      <c r="X39" s="649">
        <v>25558</v>
      </c>
      <c r="Y39" s="649">
        <v>0</v>
      </c>
      <c r="Z39" s="649">
        <v>0</v>
      </c>
      <c r="AA39" s="649">
        <v>0</v>
      </c>
      <c r="AB39" s="649">
        <v>0</v>
      </c>
      <c r="AC39" s="649">
        <f t="shared" si="9"/>
        <v>18053</v>
      </c>
      <c r="AD39" s="647"/>
      <c r="AE39" s="652"/>
      <c r="AF39" s="653"/>
      <c r="AG39" s="654"/>
      <c r="AH39" s="655"/>
      <c r="AI39" s="656"/>
      <c r="AJ39" s="657"/>
      <c r="AK39" s="658"/>
      <c r="AL39" s="658"/>
      <c r="AM39" s="658"/>
      <c r="AN39" s="657"/>
      <c r="AO39" s="658"/>
      <c r="AP39" s="658"/>
      <c r="AQ39" s="658"/>
      <c r="AR39" s="682"/>
      <c r="AS39" s="660">
        <f t="shared" si="10"/>
      </c>
      <c r="AT39" s="660">
        <f>IF(OR(OR(AND(C39="",D39&lt;&gt;""),AND(C39&lt;&gt;"",D39="")),AND(OR(SUM(Q39)&lt;&gt;0,SUM(R39)&lt;&gt;0,AND(U39&lt;&gt;"",U39&lt;&gt;0),AND(V39&lt;&gt;"",V39&lt;&gt;0),AND(W39&lt;&gt;"",W39&lt;&gt;0),AND(X39&lt;&gt;"",X39&lt;&gt;0),AND(Y39&lt;&gt;"",Y39&lt;&gt;0),AND(Z39&lt;&gt;"",Z39&lt;&gt;0),AND(AA39&lt;&gt;"",AA39&lt;&gt;0),AND(AB39&lt;&gt;"",AB39&lt;&gt;0),AND(AC39&lt;&gt;"",AC39&lt;&gt;0),AND(AD39&lt;&gt;"",AD39&lt;&gt;0),AE39&lt;&gt;"",AF39&lt;&gt;""),OR(C39="",D39=""))),"Error 2.11",IF(AND(C39&lt;&gt;"",ISNUMBER(D39)=FALSE),"Error 1.2",IF(AND(C39&lt;&gt;"",'Table 3a'!D40-INT('Table 3a'!D40)&lt;&gt;0),"Error 2.1",IF(AND(C39&lt;&gt;"",OR(D39&lt;2000,AND(D39&gt;3999,D39&lt;5200),AND(D39&gt;5299,D39&lt;5940),D39&gt;5949)),"Error 2.3",IF(AND(C39&lt;&gt;"",COUNTIF(startdfes:enddfes,D39)&gt;1),"Warning 1.2","")))))</f>
      </c>
      <c r="AU39" s="660">
        <f>IF(AND(OR(E39="",E39=0),C39="",D39=""),"",IF(AND(OR(C39&lt;&gt;"",D39&lt;&gt;""),E39=""),"Error 4.10.2",IF(AND(E39&lt;&gt;"",ISNUMBER(E39)=FALSE),"Error 1.2",IF(E39&lt;=0,"Error 1.4",IF('Table 3a'!AC40&lt;&gt;'Table 3a'!CA40,"Warning 2.7","")))))</f>
      </c>
      <c r="AV39" s="660">
        <f t="shared" si="11"/>
      </c>
      <c r="AW39" s="661"/>
      <c r="AX39" s="660">
        <f t="shared" si="12"/>
      </c>
      <c r="AY39" s="660">
        <f t="shared" si="13"/>
      </c>
      <c r="AZ39" s="660">
        <f t="shared" si="14"/>
      </c>
      <c r="BA39" s="660">
        <f t="shared" si="15"/>
      </c>
      <c r="BB39" s="660">
        <f t="shared" si="16"/>
      </c>
      <c r="BC39" s="660">
        <f t="shared" si="17"/>
      </c>
      <c r="BD39" s="660">
        <f t="shared" si="18"/>
      </c>
      <c r="BE39" s="660">
        <f t="shared" si="19"/>
      </c>
      <c r="BF39" s="660">
        <f t="shared" si="20"/>
      </c>
      <c r="BG39" s="660">
        <f>IF(AND(OR(Q39="",Q39=0),C39="",D39=""),"",IF(AND(OR(C39&lt;&gt;"",D39&lt;&gt;""),Q39=""),"Error 4.10.2",IF(AND(Q39&lt;&gt;"",ISNUMBER(Q39)=FALSE),"Error 1.2",IF(AND(OR(Q39&lt;10000,Q39&gt;10000000)),"Error 3.2.1",IF(ABS(('Table 3a'!BY40*2)-'Table 3a'!BZ40)&gt;50,"Error 3.7","")))))</f>
      </c>
      <c r="BH39" s="660">
        <f t="shared" si="21"/>
      </c>
      <c r="BI39" s="660">
        <f t="shared" si="22"/>
      </c>
      <c r="BJ39" s="660">
        <f t="shared" si="23"/>
      </c>
      <c r="BK39" s="660">
        <f t="shared" si="24"/>
      </c>
      <c r="BL39" s="660">
        <f t="shared" si="25"/>
      </c>
      <c r="BM39" s="663"/>
      <c r="BN39" s="660">
        <f t="shared" si="26"/>
      </c>
      <c r="BO39" s="660">
        <f t="shared" si="27"/>
      </c>
      <c r="BP39" s="660">
        <f t="shared" si="28"/>
      </c>
      <c r="BQ39" s="660">
        <f t="shared" si="29"/>
      </c>
      <c r="BR39" s="660">
        <f t="shared" si="30"/>
      </c>
      <c r="BS39" s="660">
        <f t="shared" si="31"/>
      </c>
      <c r="BT39" s="662"/>
      <c r="BU39" s="660">
        <f t="shared" si="32"/>
      </c>
      <c r="BV39" s="660">
        <f t="shared" si="33"/>
      </c>
      <c r="BW39" s="605">
        <f t="shared" si="34"/>
        <v>0</v>
      </c>
      <c r="BX39" s="660">
        <f t="shared" si="35"/>
      </c>
      <c r="BY39" s="664"/>
      <c r="BZ39" s="664"/>
      <c r="CA39" s="665"/>
      <c r="CB39" s="665"/>
      <c r="CC39" s="666"/>
      <c r="CD39" s="154"/>
      <c r="DG39" s="3"/>
    </row>
    <row r="40" spans="1:111" s="52" customFormat="1" ht="12.75">
      <c r="A40" s="681"/>
      <c r="B40" s="645">
        <f>IF('Table 3a'!B41="","",'Table 3a'!B41)</f>
        <v>63</v>
      </c>
      <c r="C40" s="644" t="str">
        <f>IF('Table 3a'!C41="","",'Table 3a'!C41)</f>
        <v>Widney Junior School</v>
      </c>
      <c r="D40" s="645">
        <f>IF('Table 3a'!D41="","",'Table 3a'!D41)</f>
        <v>2028</v>
      </c>
      <c r="E40" s="646">
        <f>IF('Table 3a'!AC41="","",'Table 3a'!AC41)</f>
        <v>387386.43000000005</v>
      </c>
      <c r="F40" s="646">
        <f>IF('Table 3a'!AJ41="","",'Table 3a'!AJ41)</f>
        <v>0</v>
      </c>
      <c r="G40" s="647"/>
      <c r="H40" s="646">
        <f>IF('Table 3a'!AO41="","",'Table 3a'!AO41)</f>
        <v>0</v>
      </c>
      <c r="I40" s="646">
        <f>IF('Table 3a'!AU41="","",'Table 3a'!AU41)</f>
        <v>107027</v>
      </c>
      <c r="J40" s="646">
        <f>IF('Table 3a'!AX41="","",'Table 3a'!AX41)</f>
        <v>3265</v>
      </c>
      <c r="K40" s="646">
        <f>IF('Table 3a'!BC41="","",'Table 3a'!BC41)</f>
        <v>10040</v>
      </c>
      <c r="L40" s="646">
        <f>IF('Table 3a'!BI41="","",'Table 3a'!BI41)</f>
        <v>8630</v>
      </c>
      <c r="M40" s="646">
        <f>IF('Table 3a'!BN41="","",'Table 3a'!BN41)</f>
        <v>49139</v>
      </c>
      <c r="N40" s="646">
        <f>IF('Table 3a'!BT41="","",'Table 3a'!BT41)</f>
        <v>104581</v>
      </c>
      <c r="O40" s="646">
        <f>IF('Table 3a'!BW41="","",'Table 3a'!BW41)</f>
        <v>0</v>
      </c>
      <c r="P40" s="646">
        <f>IF('Table 3a'!BX41="","",'Table 3a'!BX41)</f>
        <v>19459</v>
      </c>
      <c r="Q40" s="646">
        <f t="shared" si="7"/>
        <v>689527.43</v>
      </c>
      <c r="R40" s="646">
        <f>IF('Table 3a'!AB41="","",'Table 3a'!AB41)</f>
        <v>179</v>
      </c>
      <c r="S40" s="646">
        <f t="shared" si="8"/>
        <v>3852.108547486034</v>
      </c>
      <c r="T40" s="649" t="s">
        <v>642</v>
      </c>
      <c r="U40" s="649">
        <v>34560</v>
      </c>
      <c r="V40" s="649">
        <v>4757</v>
      </c>
      <c r="W40" s="651"/>
      <c r="X40" s="649">
        <v>16999</v>
      </c>
      <c r="Y40" s="649">
        <v>0</v>
      </c>
      <c r="Z40" s="649">
        <v>0</v>
      </c>
      <c r="AA40" s="649">
        <v>0</v>
      </c>
      <c r="AB40" s="649">
        <v>0</v>
      </c>
      <c r="AC40" s="649">
        <f t="shared" si="9"/>
        <v>110292</v>
      </c>
      <c r="AD40" s="647"/>
      <c r="AE40" s="652"/>
      <c r="AF40" s="653"/>
      <c r="AG40" s="654"/>
      <c r="AH40" s="655"/>
      <c r="AI40" s="656"/>
      <c r="AJ40" s="657"/>
      <c r="AK40" s="658"/>
      <c r="AL40" s="658"/>
      <c r="AM40" s="658"/>
      <c r="AN40" s="657"/>
      <c r="AO40" s="658"/>
      <c r="AP40" s="658"/>
      <c r="AQ40" s="658"/>
      <c r="AR40" s="682"/>
      <c r="AS40" s="660">
        <f t="shared" si="10"/>
      </c>
      <c r="AT40" s="660">
        <f>IF(OR(OR(AND(C40="",D40&lt;&gt;""),AND(C40&lt;&gt;"",D40="")),AND(OR(SUM(Q40)&lt;&gt;0,SUM(R40)&lt;&gt;0,AND(U40&lt;&gt;"",U40&lt;&gt;0),AND(V40&lt;&gt;"",V40&lt;&gt;0),AND(W40&lt;&gt;"",W40&lt;&gt;0),AND(X40&lt;&gt;"",X40&lt;&gt;0),AND(Y40&lt;&gt;"",Y40&lt;&gt;0),AND(Z40&lt;&gt;"",Z40&lt;&gt;0),AND(AA40&lt;&gt;"",AA40&lt;&gt;0),AND(AB40&lt;&gt;"",AB40&lt;&gt;0),AND(AC40&lt;&gt;"",AC40&lt;&gt;0),AND(AD40&lt;&gt;"",AD40&lt;&gt;0),AE40&lt;&gt;"",AF40&lt;&gt;""),OR(C40="",D40=""))),"Error 2.11",IF(AND(C40&lt;&gt;"",ISNUMBER(D40)=FALSE),"Error 1.2",IF(AND(C40&lt;&gt;"",'Table 3a'!D41-INT('Table 3a'!D41)&lt;&gt;0),"Error 2.1",IF(AND(C40&lt;&gt;"",OR(D40&lt;2000,AND(D40&gt;3999,D40&lt;5200),AND(D40&gt;5299,D40&lt;5940),D40&gt;5949)),"Error 2.3",IF(AND(C40&lt;&gt;"",COUNTIF(startdfes:enddfes,D40)&gt;1),"Warning 1.2","")))))</f>
      </c>
      <c r="AU40" s="660">
        <f>IF(AND(OR(E40="",E40=0),C40="",D40=""),"",IF(AND(OR(C40&lt;&gt;"",D40&lt;&gt;""),E40=""),"Error 4.10.2",IF(AND(E40&lt;&gt;"",ISNUMBER(E40)=FALSE),"Error 1.2",IF(E40&lt;=0,"Error 1.4",IF('Table 3a'!AC41&lt;&gt;'Table 3a'!CA41,"Warning 2.7","")))))</f>
      </c>
      <c r="AV40" s="660">
        <f t="shared" si="11"/>
      </c>
      <c r="AW40" s="661"/>
      <c r="AX40" s="660">
        <f t="shared" si="12"/>
      </c>
      <c r="AY40" s="660">
        <f t="shared" si="13"/>
      </c>
      <c r="AZ40" s="660">
        <f t="shared" si="14"/>
      </c>
      <c r="BA40" s="660">
        <f t="shared" si="15"/>
      </c>
      <c r="BB40" s="660">
        <f t="shared" si="16"/>
      </c>
      <c r="BC40" s="660">
        <f t="shared" si="17"/>
      </c>
      <c r="BD40" s="660">
        <f t="shared" si="18"/>
      </c>
      <c r="BE40" s="660">
        <f t="shared" si="19"/>
      </c>
      <c r="BF40" s="660">
        <f t="shared" si="20"/>
      </c>
      <c r="BG40" s="660">
        <f>IF(AND(OR(Q40="",Q40=0),C40="",D40=""),"",IF(AND(OR(C40&lt;&gt;"",D40&lt;&gt;""),Q40=""),"Error 4.10.2",IF(AND(Q40&lt;&gt;"",ISNUMBER(Q40)=FALSE),"Error 1.2",IF(AND(OR(Q40&lt;10000,Q40&gt;10000000)),"Error 3.2.1",IF(ABS(('Table 3a'!BY41*2)-'Table 3a'!BZ41)&gt;50,"Error 3.7","")))))</f>
      </c>
      <c r="BH40" s="660">
        <f t="shared" si="21"/>
      </c>
      <c r="BI40" s="660">
        <f t="shared" si="22"/>
      </c>
      <c r="BJ40" s="660">
        <f t="shared" si="23"/>
      </c>
      <c r="BK40" s="660">
        <f t="shared" si="24"/>
      </c>
      <c r="BL40" s="660">
        <f t="shared" si="25"/>
      </c>
      <c r="BM40" s="663"/>
      <c r="BN40" s="660">
        <f t="shared" si="26"/>
      </c>
      <c r="BO40" s="660">
        <f t="shared" si="27"/>
      </c>
      <c r="BP40" s="660">
        <f t="shared" si="28"/>
      </c>
      <c r="BQ40" s="660">
        <f t="shared" si="29"/>
      </c>
      <c r="BR40" s="660">
        <f t="shared" si="30"/>
      </c>
      <c r="BS40" s="660">
        <f t="shared" si="31"/>
      </c>
      <c r="BT40" s="662"/>
      <c r="BU40" s="660">
        <f t="shared" si="32"/>
      </c>
      <c r="BV40" s="660">
        <f t="shared" si="33"/>
      </c>
      <c r="BW40" s="605">
        <f t="shared" si="34"/>
        <v>0</v>
      </c>
      <c r="BX40" s="660">
        <f t="shared" si="35"/>
      </c>
      <c r="BY40" s="664"/>
      <c r="BZ40" s="664"/>
      <c r="CA40" s="665"/>
      <c r="CB40" s="665"/>
      <c r="CC40" s="666"/>
      <c r="CD40" s="154"/>
      <c r="DG40" s="3"/>
    </row>
    <row r="41" spans="1:111" s="52" customFormat="1" ht="12.75">
      <c r="A41" s="681"/>
      <c r="B41" s="645">
        <f>IF('Table 3a'!B42="","",'Table 3a'!B42)</f>
        <v>17</v>
      </c>
      <c r="C41" s="644" t="str">
        <f>IF('Table 3a'!C42="","",'Table 3a'!C42)</f>
        <v>Damson Wood Nursery and Infant School</v>
      </c>
      <c r="D41" s="645">
        <f>IF('Table 3a'!D42="","",'Table 3a'!D42)</f>
        <v>2029</v>
      </c>
      <c r="E41" s="646">
        <f>IF('Table 3a'!AC42="","",'Table 3a'!AC42)</f>
        <v>417275.37</v>
      </c>
      <c r="F41" s="646">
        <f>IF('Table 3a'!AJ42="","",'Table 3a'!AJ42)</f>
        <v>66911</v>
      </c>
      <c r="G41" s="647"/>
      <c r="H41" s="646">
        <f>IF('Table 3a'!AO42="","",'Table 3a'!AO42)</f>
        <v>0</v>
      </c>
      <c r="I41" s="646">
        <f>IF('Table 3a'!AU42="","",'Table 3a'!AU42)</f>
        <v>20655</v>
      </c>
      <c r="J41" s="646">
        <f>IF('Table 3a'!AX42="","",'Table 3a'!AX42)</f>
        <v>3265</v>
      </c>
      <c r="K41" s="646">
        <f>IF('Table 3a'!BC42="","",'Table 3a'!BC42)</f>
        <v>12089</v>
      </c>
      <c r="L41" s="646">
        <f>IF('Table 3a'!BI42="","",'Table 3a'!BI42)</f>
        <v>7623</v>
      </c>
      <c r="M41" s="646">
        <f>IF('Table 3a'!BN42="","",'Table 3a'!BN42)</f>
        <v>38598</v>
      </c>
      <c r="N41" s="646">
        <f>IF('Table 3a'!BT42="","",'Table 3a'!BT42)</f>
        <v>88377</v>
      </c>
      <c r="O41" s="646">
        <f>IF('Table 3a'!BW42="","",'Table 3a'!BW42)</f>
        <v>0</v>
      </c>
      <c r="P41" s="646">
        <f>IF('Table 3a'!BX42="","",'Table 3a'!BX42)</f>
        <v>0</v>
      </c>
      <c r="Q41" s="646">
        <f t="shared" si="7"/>
        <v>654793.37</v>
      </c>
      <c r="R41" s="646">
        <f>IF('Table 3a'!AB42="","",'Table 3a'!AB42)</f>
        <v>199.5</v>
      </c>
      <c r="S41" s="646">
        <f t="shared" si="8"/>
        <v>3282.1722807017545</v>
      </c>
      <c r="T41" s="649" t="s">
        <v>642</v>
      </c>
      <c r="U41" s="649">
        <v>37511.65134212664</v>
      </c>
      <c r="V41" s="649">
        <v>2581</v>
      </c>
      <c r="W41" s="651"/>
      <c r="X41" s="649">
        <v>28948</v>
      </c>
      <c r="Y41" s="649">
        <v>0</v>
      </c>
      <c r="Z41" s="649">
        <v>0</v>
      </c>
      <c r="AA41" s="649">
        <v>0</v>
      </c>
      <c r="AB41" s="649">
        <v>0</v>
      </c>
      <c r="AC41" s="649">
        <f t="shared" si="9"/>
        <v>23920</v>
      </c>
      <c r="AD41" s="647"/>
      <c r="AE41" s="652"/>
      <c r="AF41" s="653"/>
      <c r="AG41" s="654"/>
      <c r="AH41" s="655"/>
      <c r="AI41" s="656"/>
      <c r="AJ41" s="657"/>
      <c r="AK41" s="658"/>
      <c r="AL41" s="658"/>
      <c r="AM41" s="658"/>
      <c r="AN41" s="657"/>
      <c r="AO41" s="658"/>
      <c r="AP41" s="658"/>
      <c r="AQ41" s="658"/>
      <c r="AR41" s="682"/>
      <c r="AS41" s="660">
        <f t="shared" si="10"/>
      </c>
      <c r="AT41" s="660">
        <f>IF(OR(OR(AND(C41="",D41&lt;&gt;""),AND(C41&lt;&gt;"",D41="")),AND(OR(SUM(Q41)&lt;&gt;0,SUM(R41)&lt;&gt;0,AND(U41&lt;&gt;"",U41&lt;&gt;0),AND(V41&lt;&gt;"",V41&lt;&gt;0),AND(W41&lt;&gt;"",W41&lt;&gt;0),AND(X41&lt;&gt;"",X41&lt;&gt;0),AND(Y41&lt;&gt;"",Y41&lt;&gt;0),AND(Z41&lt;&gt;"",Z41&lt;&gt;0),AND(AA41&lt;&gt;"",AA41&lt;&gt;0),AND(AB41&lt;&gt;"",AB41&lt;&gt;0),AND(AC41&lt;&gt;"",AC41&lt;&gt;0),AND(AD41&lt;&gt;"",AD41&lt;&gt;0),AE41&lt;&gt;"",AF41&lt;&gt;""),OR(C41="",D41=""))),"Error 2.11",IF(AND(C41&lt;&gt;"",ISNUMBER(D41)=FALSE),"Error 1.2",IF(AND(C41&lt;&gt;"",'Table 3a'!D42-INT('Table 3a'!D42)&lt;&gt;0),"Error 2.1",IF(AND(C41&lt;&gt;"",OR(D41&lt;2000,AND(D41&gt;3999,D41&lt;5200),AND(D41&gt;5299,D41&lt;5940),D41&gt;5949)),"Error 2.3",IF(AND(C41&lt;&gt;"",COUNTIF(startdfes:enddfes,D41)&gt;1),"Warning 1.2","")))))</f>
      </c>
      <c r="AU41" s="660">
        <f>IF(AND(OR(E41="",E41=0),C41="",D41=""),"",IF(AND(OR(C41&lt;&gt;"",D41&lt;&gt;""),E41=""),"Error 4.10.2",IF(AND(E41&lt;&gt;"",ISNUMBER(E41)=FALSE),"Error 1.2",IF(E41&lt;=0,"Error 1.4",IF('Table 3a'!AC42&lt;&gt;'Table 3a'!CA42,"Warning 2.7","")))))</f>
      </c>
      <c r="AV41" s="660">
        <f t="shared" si="11"/>
      </c>
      <c r="AW41" s="661"/>
      <c r="AX41" s="660">
        <f t="shared" si="12"/>
      </c>
      <c r="AY41" s="660">
        <f t="shared" si="13"/>
      </c>
      <c r="AZ41" s="660">
        <f t="shared" si="14"/>
      </c>
      <c r="BA41" s="660">
        <f t="shared" si="15"/>
      </c>
      <c r="BB41" s="660">
        <f t="shared" si="16"/>
      </c>
      <c r="BC41" s="660">
        <f t="shared" si="17"/>
      </c>
      <c r="BD41" s="660">
        <f t="shared" si="18"/>
      </c>
      <c r="BE41" s="660">
        <f t="shared" si="19"/>
      </c>
      <c r="BF41" s="660">
        <f t="shared" si="20"/>
      </c>
      <c r="BG41" s="660">
        <f>IF(AND(OR(Q41="",Q41=0),C41="",D41=""),"",IF(AND(OR(C41&lt;&gt;"",D41&lt;&gt;""),Q41=""),"Error 4.10.2",IF(AND(Q41&lt;&gt;"",ISNUMBER(Q41)=FALSE),"Error 1.2",IF(AND(OR(Q41&lt;10000,Q41&gt;10000000)),"Error 3.2.1",IF(ABS(('Table 3a'!BY42*2)-'Table 3a'!BZ42)&gt;50,"Error 3.7","")))))</f>
      </c>
      <c r="BH41" s="660">
        <f t="shared" si="21"/>
      </c>
      <c r="BI41" s="660">
        <f t="shared" si="22"/>
      </c>
      <c r="BJ41" s="660">
        <f t="shared" si="23"/>
      </c>
      <c r="BK41" s="660">
        <f t="shared" si="24"/>
      </c>
      <c r="BL41" s="660">
        <f t="shared" si="25"/>
      </c>
      <c r="BM41" s="663"/>
      <c r="BN41" s="660">
        <f t="shared" si="26"/>
      </c>
      <c r="BO41" s="660">
        <f t="shared" si="27"/>
      </c>
      <c r="BP41" s="660">
        <f t="shared" si="28"/>
      </c>
      <c r="BQ41" s="660">
        <f t="shared" si="29"/>
      </c>
      <c r="BR41" s="660">
        <f t="shared" si="30"/>
      </c>
      <c r="BS41" s="660">
        <f t="shared" si="31"/>
      </c>
      <c r="BT41" s="662"/>
      <c r="BU41" s="660">
        <f t="shared" si="32"/>
      </c>
      <c r="BV41" s="660">
        <f t="shared" si="33"/>
      </c>
      <c r="BW41" s="605">
        <f t="shared" si="34"/>
        <v>0</v>
      </c>
      <c r="BX41" s="660">
        <f t="shared" si="35"/>
      </c>
      <c r="BY41" s="664"/>
      <c r="BZ41" s="664"/>
      <c r="CA41" s="665"/>
      <c r="CB41" s="665"/>
      <c r="CC41" s="666"/>
      <c r="CD41" s="154"/>
      <c r="DG41" s="3"/>
    </row>
    <row r="42" spans="1:111" s="52" customFormat="1" ht="12.75">
      <c r="A42" s="681"/>
      <c r="B42" s="645">
        <f>IF('Table 3a'!B43="","",'Table 3a'!B43)</f>
        <v>40</v>
      </c>
      <c r="C42" s="644" t="str">
        <f>IF('Table 3a'!C43="","",'Table 3a'!C43)</f>
        <v>Oak Cottage Primary School</v>
      </c>
      <c r="D42" s="645">
        <f>IF('Table 3a'!D43="","",'Table 3a'!D43)</f>
        <v>2030</v>
      </c>
      <c r="E42" s="646">
        <f>IF('Table 3a'!AC43="","",'Table 3a'!AC43)</f>
        <v>473901.16</v>
      </c>
      <c r="F42" s="646">
        <f>IF('Table 3a'!AJ43="","",'Table 3a'!AJ43)</f>
        <v>37134</v>
      </c>
      <c r="G42" s="647"/>
      <c r="H42" s="646">
        <f>IF('Table 3a'!AO43="","",'Table 3a'!AO43)</f>
        <v>0</v>
      </c>
      <c r="I42" s="646">
        <f>IF('Table 3a'!AU43="","",'Table 3a'!AU43)</f>
        <v>20300</v>
      </c>
      <c r="J42" s="646">
        <f>IF('Table 3a'!AX43="","",'Table 3a'!AX43)</f>
        <v>7720</v>
      </c>
      <c r="K42" s="646">
        <f>IF('Table 3a'!BC43="","",'Table 3a'!BC43)</f>
        <v>4402</v>
      </c>
      <c r="L42" s="646">
        <f>IF('Table 3a'!BI43="","",'Table 3a'!BI43)</f>
        <v>2308</v>
      </c>
      <c r="M42" s="646">
        <f>IF('Table 3a'!BN43="","",'Table 3a'!BN43)</f>
        <v>44961</v>
      </c>
      <c r="N42" s="646">
        <f>IF('Table 3a'!BT43="","",'Table 3a'!BT43)</f>
        <v>106337</v>
      </c>
      <c r="O42" s="646">
        <f>IF('Table 3a'!BW43="","",'Table 3a'!BW43)</f>
        <v>0</v>
      </c>
      <c r="P42" s="646">
        <f>IF('Table 3a'!BX43="","",'Table 3a'!BX43)</f>
        <v>0</v>
      </c>
      <c r="Q42" s="646">
        <f t="shared" si="7"/>
        <v>697063.1599999999</v>
      </c>
      <c r="R42" s="646">
        <f>IF('Table 3a'!AB43="","",'Table 3a'!AB43)</f>
        <v>223</v>
      </c>
      <c r="S42" s="646">
        <f t="shared" si="8"/>
        <v>3125.843766816143</v>
      </c>
      <c r="T42" s="649" t="s">
        <v>642</v>
      </c>
      <c r="U42" s="649">
        <v>40062.720174922804</v>
      </c>
      <c r="V42" s="649">
        <v>1975</v>
      </c>
      <c r="W42" s="651"/>
      <c r="X42" s="649">
        <v>15481</v>
      </c>
      <c r="Y42" s="649">
        <v>0</v>
      </c>
      <c r="Z42" s="649">
        <v>0</v>
      </c>
      <c r="AA42" s="649">
        <v>0</v>
      </c>
      <c r="AB42" s="649">
        <v>0</v>
      </c>
      <c r="AC42" s="649">
        <f t="shared" si="9"/>
        <v>28020</v>
      </c>
      <c r="AD42" s="647"/>
      <c r="AE42" s="652"/>
      <c r="AF42" s="653"/>
      <c r="AG42" s="654"/>
      <c r="AH42" s="655"/>
      <c r="AI42" s="656"/>
      <c r="AJ42" s="657"/>
      <c r="AK42" s="658"/>
      <c r="AL42" s="658"/>
      <c r="AM42" s="658"/>
      <c r="AN42" s="657"/>
      <c r="AO42" s="658"/>
      <c r="AP42" s="658"/>
      <c r="AQ42" s="658"/>
      <c r="AR42" s="682"/>
      <c r="AS42" s="660">
        <f t="shared" si="10"/>
      </c>
      <c r="AT42" s="660">
        <f>IF(OR(OR(AND(C42="",D42&lt;&gt;""),AND(C42&lt;&gt;"",D42="")),AND(OR(SUM(Q42)&lt;&gt;0,SUM(R42)&lt;&gt;0,AND(U42&lt;&gt;"",U42&lt;&gt;0),AND(V42&lt;&gt;"",V42&lt;&gt;0),AND(W42&lt;&gt;"",W42&lt;&gt;0),AND(X42&lt;&gt;"",X42&lt;&gt;0),AND(Y42&lt;&gt;"",Y42&lt;&gt;0),AND(Z42&lt;&gt;"",Z42&lt;&gt;0),AND(AA42&lt;&gt;"",AA42&lt;&gt;0),AND(AB42&lt;&gt;"",AB42&lt;&gt;0),AND(AC42&lt;&gt;"",AC42&lt;&gt;0),AND(AD42&lt;&gt;"",AD42&lt;&gt;0),AE42&lt;&gt;"",AF42&lt;&gt;""),OR(C42="",D42=""))),"Error 2.11",IF(AND(C42&lt;&gt;"",ISNUMBER(D42)=FALSE),"Error 1.2",IF(AND(C42&lt;&gt;"",'Table 3a'!D43-INT('Table 3a'!D43)&lt;&gt;0),"Error 2.1",IF(AND(C42&lt;&gt;"",OR(D42&lt;2000,AND(D42&gt;3999,D42&lt;5200),AND(D42&gt;5299,D42&lt;5940),D42&gt;5949)),"Error 2.3",IF(AND(C42&lt;&gt;"",COUNTIF(startdfes:enddfes,D42)&gt;1),"Warning 1.2","")))))</f>
      </c>
      <c r="AU42" s="660">
        <f>IF(AND(OR(E42="",E42=0),C42="",D42=""),"",IF(AND(OR(C42&lt;&gt;"",D42&lt;&gt;""),E42=""),"Error 4.10.2",IF(AND(E42&lt;&gt;"",ISNUMBER(E42)=FALSE),"Error 1.2",IF(E42&lt;=0,"Error 1.4",IF('Table 3a'!AC43&lt;&gt;'Table 3a'!CA43,"Warning 2.7","")))))</f>
      </c>
      <c r="AV42" s="660">
        <f t="shared" si="11"/>
      </c>
      <c r="AW42" s="661"/>
      <c r="AX42" s="660">
        <f t="shared" si="12"/>
      </c>
      <c r="AY42" s="660">
        <f t="shared" si="13"/>
      </c>
      <c r="AZ42" s="660">
        <f t="shared" si="14"/>
      </c>
      <c r="BA42" s="660">
        <f t="shared" si="15"/>
      </c>
      <c r="BB42" s="660">
        <f t="shared" si="16"/>
      </c>
      <c r="BC42" s="660">
        <f t="shared" si="17"/>
      </c>
      <c r="BD42" s="660">
        <f t="shared" si="18"/>
      </c>
      <c r="BE42" s="660">
        <f t="shared" si="19"/>
      </c>
      <c r="BF42" s="660">
        <f t="shared" si="20"/>
      </c>
      <c r="BG42" s="660">
        <f>IF(AND(OR(Q42="",Q42=0),C42="",D42=""),"",IF(AND(OR(C42&lt;&gt;"",D42&lt;&gt;""),Q42=""),"Error 4.10.2",IF(AND(Q42&lt;&gt;"",ISNUMBER(Q42)=FALSE),"Error 1.2",IF(AND(OR(Q42&lt;10000,Q42&gt;10000000)),"Error 3.2.1",IF(ABS(('Table 3a'!BY43*2)-'Table 3a'!BZ43)&gt;50,"Error 3.7","")))))</f>
      </c>
      <c r="BH42" s="660">
        <f t="shared" si="21"/>
      </c>
      <c r="BI42" s="660">
        <f t="shared" si="22"/>
      </c>
      <c r="BJ42" s="660">
        <f t="shared" si="23"/>
      </c>
      <c r="BK42" s="660">
        <f t="shared" si="24"/>
      </c>
      <c r="BL42" s="660">
        <f t="shared" si="25"/>
      </c>
      <c r="BM42" s="663"/>
      <c r="BN42" s="660">
        <f t="shared" si="26"/>
      </c>
      <c r="BO42" s="660">
        <f t="shared" si="27"/>
      </c>
      <c r="BP42" s="660">
        <f t="shared" si="28"/>
      </c>
      <c r="BQ42" s="660">
        <f t="shared" si="29"/>
      </c>
      <c r="BR42" s="660">
        <f t="shared" si="30"/>
      </c>
      <c r="BS42" s="660">
        <f t="shared" si="31"/>
      </c>
      <c r="BT42" s="662"/>
      <c r="BU42" s="660">
        <f t="shared" si="32"/>
      </c>
      <c r="BV42" s="660">
        <f t="shared" si="33"/>
      </c>
      <c r="BW42" s="605">
        <f t="shared" si="34"/>
        <v>0</v>
      </c>
      <c r="BX42" s="660">
        <f t="shared" si="35"/>
      </c>
      <c r="BY42" s="664"/>
      <c r="BZ42" s="664"/>
      <c r="CA42" s="665"/>
      <c r="CB42" s="665"/>
      <c r="CC42" s="666"/>
      <c r="CD42" s="154"/>
      <c r="DG42" s="3"/>
    </row>
    <row r="43" spans="1:111" s="52" customFormat="1" ht="12.75">
      <c r="A43" s="681"/>
      <c r="B43" s="645">
        <f>IF('Table 3a'!B44="","",'Table 3a'!B44)</f>
        <v>38</v>
      </c>
      <c r="C43" s="644" t="str">
        <f>IF('Table 3a'!C44="","",'Table 3a'!C44)</f>
        <v>MILL Lodge Primary School</v>
      </c>
      <c r="D43" s="645">
        <f>IF('Table 3a'!D44="","",'Table 3a'!D44)</f>
        <v>2031</v>
      </c>
      <c r="E43" s="646">
        <f>IF('Table 3a'!AC44="","",'Table 3a'!AC44)</f>
        <v>466689.81000000006</v>
      </c>
      <c r="F43" s="646">
        <f>IF('Table 3a'!AJ44="","",'Table 3a'!AJ44)</f>
        <v>37134</v>
      </c>
      <c r="G43" s="647"/>
      <c r="H43" s="646">
        <f>IF('Table 3a'!AO44="","",'Table 3a'!AO44)</f>
        <v>0</v>
      </c>
      <c r="I43" s="646">
        <f>IF('Table 3a'!AU44="","",'Table 3a'!AU44)</f>
        <v>27829</v>
      </c>
      <c r="J43" s="646">
        <f>IF('Table 3a'!AX44="","",'Table 3a'!AX44)</f>
        <v>3265</v>
      </c>
      <c r="K43" s="646">
        <f>IF('Table 3a'!BC44="","",'Table 3a'!BC44)</f>
        <v>15542</v>
      </c>
      <c r="L43" s="646">
        <f>IF('Table 3a'!BI44="","",'Table 3a'!BI44)</f>
        <v>10947</v>
      </c>
      <c r="M43" s="646">
        <f>IF('Table 3a'!BN44="","",'Table 3a'!BN44)</f>
        <v>46996</v>
      </c>
      <c r="N43" s="646">
        <f>IF('Table 3a'!BT44="","",'Table 3a'!BT44)</f>
        <v>107730</v>
      </c>
      <c r="O43" s="646">
        <f>IF('Table 3a'!BW44="","",'Table 3a'!BW44)</f>
        <v>0</v>
      </c>
      <c r="P43" s="646">
        <f>IF('Table 3a'!BX44="","",'Table 3a'!BX44)</f>
        <v>0</v>
      </c>
      <c r="Q43" s="646">
        <f t="shared" si="7"/>
        <v>716132.81</v>
      </c>
      <c r="R43" s="646">
        <f>IF('Table 3a'!AB44="","",'Table 3a'!AB44)</f>
        <v>216</v>
      </c>
      <c r="S43" s="646">
        <f t="shared" si="8"/>
        <v>3315.4296759259264</v>
      </c>
      <c r="T43" s="649" t="s">
        <v>642</v>
      </c>
      <c r="U43" s="649">
        <v>38862.93053299243</v>
      </c>
      <c r="V43" s="649">
        <v>4406</v>
      </c>
      <c r="W43" s="651"/>
      <c r="X43" s="649">
        <v>20405</v>
      </c>
      <c r="Y43" s="649">
        <v>0</v>
      </c>
      <c r="Z43" s="649">
        <v>0</v>
      </c>
      <c r="AA43" s="649">
        <v>0</v>
      </c>
      <c r="AB43" s="649">
        <v>0</v>
      </c>
      <c r="AC43" s="649">
        <f t="shared" si="9"/>
        <v>31094</v>
      </c>
      <c r="AD43" s="647"/>
      <c r="AE43" s="652"/>
      <c r="AF43" s="653"/>
      <c r="AG43" s="654"/>
      <c r="AH43" s="655"/>
      <c r="AI43" s="656"/>
      <c r="AJ43" s="657"/>
      <c r="AK43" s="658"/>
      <c r="AL43" s="658"/>
      <c r="AM43" s="658"/>
      <c r="AN43" s="657"/>
      <c r="AO43" s="658"/>
      <c r="AP43" s="658"/>
      <c r="AQ43" s="658"/>
      <c r="AR43" s="682"/>
      <c r="AS43" s="660">
        <f t="shared" si="10"/>
      </c>
      <c r="AT43" s="660">
        <f>IF(OR(OR(AND(C43="",D43&lt;&gt;""),AND(C43&lt;&gt;"",D43="")),AND(OR(SUM(Q43)&lt;&gt;0,SUM(R43)&lt;&gt;0,AND(U43&lt;&gt;"",U43&lt;&gt;0),AND(V43&lt;&gt;"",V43&lt;&gt;0),AND(W43&lt;&gt;"",W43&lt;&gt;0),AND(X43&lt;&gt;"",X43&lt;&gt;0),AND(Y43&lt;&gt;"",Y43&lt;&gt;0),AND(Z43&lt;&gt;"",Z43&lt;&gt;0),AND(AA43&lt;&gt;"",AA43&lt;&gt;0),AND(AB43&lt;&gt;"",AB43&lt;&gt;0),AND(AC43&lt;&gt;"",AC43&lt;&gt;0),AND(AD43&lt;&gt;"",AD43&lt;&gt;0),AE43&lt;&gt;"",AF43&lt;&gt;""),OR(C43="",D43=""))),"Error 2.11",IF(AND(C43&lt;&gt;"",ISNUMBER(D43)=FALSE),"Error 1.2",IF(AND(C43&lt;&gt;"",'Table 3a'!D44-INT('Table 3a'!D44)&lt;&gt;0),"Error 2.1",IF(AND(C43&lt;&gt;"",OR(D43&lt;2000,AND(D43&gt;3999,D43&lt;5200),AND(D43&gt;5299,D43&lt;5940),D43&gt;5949)),"Error 2.3",IF(AND(C43&lt;&gt;"",COUNTIF(startdfes:enddfes,D43)&gt;1),"Warning 1.2","")))))</f>
      </c>
      <c r="AU43" s="660">
        <f>IF(AND(OR(E43="",E43=0),C43="",D43=""),"",IF(AND(OR(C43&lt;&gt;"",D43&lt;&gt;""),E43=""),"Error 4.10.2",IF(AND(E43&lt;&gt;"",ISNUMBER(E43)=FALSE),"Error 1.2",IF(E43&lt;=0,"Error 1.4",IF('Table 3a'!AC44&lt;&gt;'Table 3a'!CA44,"Warning 2.7","")))))</f>
      </c>
      <c r="AV43" s="660">
        <f t="shared" si="11"/>
      </c>
      <c r="AW43" s="661"/>
      <c r="AX43" s="660">
        <f t="shared" si="12"/>
      </c>
      <c r="AY43" s="660">
        <f t="shared" si="13"/>
      </c>
      <c r="AZ43" s="660">
        <f t="shared" si="14"/>
      </c>
      <c r="BA43" s="660">
        <f t="shared" si="15"/>
      </c>
      <c r="BB43" s="660">
        <f t="shared" si="16"/>
      </c>
      <c r="BC43" s="660">
        <f t="shared" si="17"/>
      </c>
      <c r="BD43" s="660">
        <f t="shared" si="18"/>
      </c>
      <c r="BE43" s="660">
        <f t="shared" si="19"/>
      </c>
      <c r="BF43" s="660">
        <f t="shared" si="20"/>
      </c>
      <c r="BG43" s="660">
        <f>IF(AND(OR(Q43="",Q43=0),C43="",D43=""),"",IF(AND(OR(C43&lt;&gt;"",D43&lt;&gt;""),Q43=""),"Error 4.10.2",IF(AND(Q43&lt;&gt;"",ISNUMBER(Q43)=FALSE),"Error 1.2",IF(AND(OR(Q43&lt;10000,Q43&gt;10000000)),"Error 3.2.1",IF(ABS(('Table 3a'!BY44*2)-'Table 3a'!BZ44)&gt;50,"Error 3.7","")))))</f>
      </c>
      <c r="BH43" s="660">
        <f t="shared" si="21"/>
      </c>
      <c r="BI43" s="660">
        <f t="shared" si="22"/>
      </c>
      <c r="BJ43" s="660">
        <f t="shared" si="23"/>
      </c>
      <c r="BK43" s="660">
        <f t="shared" si="24"/>
      </c>
      <c r="BL43" s="660">
        <f t="shared" si="25"/>
      </c>
      <c r="BM43" s="663"/>
      <c r="BN43" s="660">
        <f t="shared" si="26"/>
      </c>
      <c r="BO43" s="660">
        <f t="shared" si="27"/>
      </c>
      <c r="BP43" s="660">
        <f t="shared" si="28"/>
      </c>
      <c r="BQ43" s="660">
        <f t="shared" si="29"/>
      </c>
      <c r="BR43" s="660">
        <f t="shared" si="30"/>
      </c>
      <c r="BS43" s="660">
        <f t="shared" si="31"/>
      </c>
      <c r="BT43" s="662"/>
      <c r="BU43" s="660">
        <f t="shared" si="32"/>
      </c>
      <c r="BV43" s="660">
        <f t="shared" si="33"/>
      </c>
      <c r="BW43" s="605">
        <f t="shared" si="34"/>
        <v>0</v>
      </c>
      <c r="BX43" s="660">
        <f t="shared" si="35"/>
      </c>
      <c r="BY43" s="664"/>
      <c r="BZ43" s="664"/>
      <c r="CA43" s="665"/>
      <c r="CB43" s="665"/>
      <c r="CC43" s="666"/>
      <c r="CD43" s="154"/>
      <c r="DG43" s="3"/>
    </row>
    <row r="44" spans="1:111" s="52" customFormat="1" ht="12.75">
      <c r="A44" s="681"/>
      <c r="B44" s="645">
        <f>IF('Table 3a'!B45="","",'Table 3a'!B45)</f>
        <v>66</v>
      </c>
      <c r="C44" s="644" t="str">
        <f>IF('Table 3a'!C45="","",'Table 3a'!C45)</f>
        <v>Yew Tree Nursery Infant and Junior School</v>
      </c>
      <c r="D44" s="645">
        <f>IF('Table 3a'!D45="","",'Table 3a'!D45)</f>
        <v>2033</v>
      </c>
      <c r="E44" s="646">
        <f>IF('Table 3a'!AC45="","",'Table 3a'!AC45)</f>
        <v>383016.04000000004</v>
      </c>
      <c r="F44" s="646">
        <f>IF('Table 3a'!AJ45="","",'Table 3a'!AJ45)</f>
        <v>54556</v>
      </c>
      <c r="G44" s="647"/>
      <c r="H44" s="646">
        <f>IF('Table 3a'!AO45="","",'Table 3a'!AO45)</f>
        <v>0</v>
      </c>
      <c r="I44" s="646">
        <f>IF('Table 3a'!AU45="","",'Table 3a'!AU45)</f>
        <v>41766</v>
      </c>
      <c r="J44" s="646">
        <f>IF('Table 3a'!AX45="","",'Table 3a'!AX45)</f>
        <v>3265</v>
      </c>
      <c r="K44" s="646">
        <f>IF('Table 3a'!BC45="","",'Table 3a'!BC45)</f>
        <v>18598</v>
      </c>
      <c r="L44" s="646">
        <f>IF('Table 3a'!BI45="","",'Table 3a'!BI45)</f>
        <v>11843</v>
      </c>
      <c r="M44" s="646">
        <f>IF('Table 3a'!BN45="","",'Table 3a'!BN45)</f>
        <v>41825</v>
      </c>
      <c r="N44" s="646">
        <f>IF('Table 3a'!BT45="","",'Table 3a'!BT45)</f>
        <v>118989</v>
      </c>
      <c r="O44" s="646">
        <f>IF('Table 3a'!BW45="","",'Table 3a'!BW45)</f>
        <v>0</v>
      </c>
      <c r="P44" s="646">
        <f>IF('Table 3a'!BX45="","",'Table 3a'!BX45)</f>
        <v>0</v>
      </c>
      <c r="Q44" s="646">
        <f t="shared" si="7"/>
        <v>673858.04</v>
      </c>
      <c r="R44" s="646">
        <f>IF('Table 3a'!AB45="","",'Table 3a'!AB45)</f>
        <v>177.5</v>
      </c>
      <c r="S44" s="646">
        <f t="shared" si="8"/>
        <v>3796.383323943662</v>
      </c>
      <c r="T44" s="649" t="s">
        <v>642</v>
      </c>
      <c r="U44" s="649">
        <v>33595.42136479243</v>
      </c>
      <c r="V44" s="649">
        <v>5395</v>
      </c>
      <c r="W44" s="651"/>
      <c r="X44" s="649">
        <v>26477</v>
      </c>
      <c r="Y44" s="649">
        <v>0</v>
      </c>
      <c r="Z44" s="649">
        <v>0</v>
      </c>
      <c r="AA44" s="649">
        <v>0</v>
      </c>
      <c r="AB44" s="649">
        <v>0</v>
      </c>
      <c r="AC44" s="649">
        <f t="shared" si="9"/>
        <v>45031</v>
      </c>
      <c r="AD44" s="647"/>
      <c r="AE44" s="652"/>
      <c r="AF44" s="653"/>
      <c r="AG44" s="654"/>
      <c r="AH44" s="655"/>
      <c r="AI44" s="656"/>
      <c r="AJ44" s="657"/>
      <c r="AK44" s="658"/>
      <c r="AL44" s="658"/>
      <c r="AM44" s="658"/>
      <c r="AN44" s="657"/>
      <c r="AO44" s="658"/>
      <c r="AP44" s="658"/>
      <c r="AQ44" s="658"/>
      <c r="AR44" s="682"/>
      <c r="AS44" s="660">
        <f t="shared" si="10"/>
      </c>
      <c r="AT44" s="660">
        <f>IF(OR(OR(AND(C44="",D44&lt;&gt;""),AND(C44&lt;&gt;"",D44="")),AND(OR(SUM(Q44)&lt;&gt;0,SUM(R44)&lt;&gt;0,AND(U44&lt;&gt;"",U44&lt;&gt;0),AND(V44&lt;&gt;"",V44&lt;&gt;0),AND(W44&lt;&gt;"",W44&lt;&gt;0),AND(X44&lt;&gt;"",X44&lt;&gt;0),AND(Y44&lt;&gt;"",Y44&lt;&gt;0),AND(Z44&lt;&gt;"",Z44&lt;&gt;0),AND(AA44&lt;&gt;"",AA44&lt;&gt;0),AND(AB44&lt;&gt;"",AB44&lt;&gt;0),AND(AC44&lt;&gt;"",AC44&lt;&gt;0),AND(AD44&lt;&gt;"",AD44&lt;&gt;0),AE44&lt;&gt;"",AF44&lt;&gt;""),OR(C44="",D44=""))),"Error 2.11",IF(AND(C44&lt;&gt;"",ISNUMBER(D44)=FALSE),"Error 1.2",IF(AND(C44&lt;&gt;"",'Table 3a'!D45-INT('Table 3a'!D45)&lt;&gt;0),"Error 2.1",IF(AND(C44&lt;&gt;"",OR(D44&lt;2000,AND(D44&gt;3999,D44&lt;5200),AND(D44&gt;5299,D44&lt;5940),D44&gt;5949)),"Error 2.3",IF(AND(C44&lt;&gt;"",COUNTIF(startdfes:enddfes,D44)&gt;1),"Warning 1.2","")))))</f>
      </c>
      <c r="AU44" s="660">
        <f>IF(AND(OR(E44="",E44=0),C44="",D44=""),"",IF(AND(OR(C44&lt;&gt;"",D44&lt;&gt;""),E44=""),"Error 4.10.2",IF(AND(E44&lt;&gt;"",ISNUMBER(E44)=FALSE),"Error 1.2",IF(E44&lt;=0,"Error 1.4",IF('Table 3a'!AC45&lt;&gt;'Table 3a'!CA45,"Warning 2.7","")))))</f>
      </c>
      <c r="AV44" s="660">
        <f t="shared" si="11"/>
      </c>
      <c r="AW44" s="661"/>
      <c r="AX44" s="660">
        <f t="shared" si="12"/>
      </c>
      <c r="AY44" s="660">
        <f t="shared" si="13"/>
      </c>
      <c r="AZ44" s="660">
        <f t="shared" si="14"/>
      </c>
      <c r="BA44" s="660">
        <f t="shared" si="15"/>
      </c>
      <c r="BB44" s="660">
        <f t="shared" si="16"/>
      </c>
      <c r="BC44" s="660">
        <f t="shared" si="17"/>
      </c>
      <c r="BD44" s="660">
        <f t="shared" si="18"/>
      </c>
      <c r="BE44" s="660">
        <f t="shared" si="19"/>
      </c>
      <c r="BF44" s="660">
        <f t="shared" si="20"/>
      </c>
      <c r="BG44" s="660">
        <f>IF(AND(OR(Q44="",Q44=0),C44="",D44=""),"",IF(AND(OR(C44&lt;&gt;"",D44&lt;&gt;""),Q44=""),"Error 4.10.2",IF(AND(Q44&lt;&gt;"",ISNUMBER(Q44)=FALSE),"Error 1.2",IF(AND(OR(Q44&lt;10000,Q44&gt;10000000)),"Error 3.2.1",IF(ABS(('Table 3a'!BY45*2)-'Table 3a'!BZ45)&gt;50,"Error 3.7","")))))</f>
      </c>
      <c r="BH44" s="660">
        <f t="shared" si="21"/>
      </c>
      <c r="BI44" s="660">
        <f t="shared" si="22"/>
      </c>
      <c r="BJ44" s="660">
        <f t="shared" si="23"/>
      </c>
      <c r="BK44" s="660">
        <f t="shared" si="24"/>
      </c>
      <c r="BL44" s="660">
        <f t="shared" si="25"/>
      </c>
      <c r="BM44" s="663"/>
      <c r="BN44" s="660">
        <f t="shared" si="26"/>
      </c>
      <c r="BO44" s="660">
        <f t="shared" si="27"/>
      </c>
      <c r="BP44" s="660">
        <f t="shared" si="28"/>
      </c>
      <c r="BQ44" s="660">
        <f t="shared" si="29"/>
      </c>
      <c r="BR44" s="660">
        <f t="shared" si="30"/>
      </c>
      <c r="BS44" s="660">
        <f t="shared" si="31"/>
      </c>
      <c r="BT44" s="662"/>
      <c r="BU44" s="660">
        <f t="shared" si="32"/>
      </c>
      <c r="BV44" s="660">
        <f t="shared" si="33"/>
      </c>
      <c r="BW44" s="605">
        <f t="shared" si="34"/>
        <v>0</v>
      </c>
      <c r="BX44" s="660">
        <f t="shared" si="35"/>
      </c>
      <c r="BY44" s="664"/>
      <c r="BZ44" s="664"/>
      <c r="CA44" s="665"/>
      <c r="CB44" s="665"/>
      <c r="CC44" s="666"/>
      <c r="CD44" s="154"/>
      <c r="DG44" s="3"/>
    </row>
    <row r="45" spans="1:111" s="52" customFormat="1" ht="12.75">
      <c r="A45" s="681"/>
      <c r="B45" s="645">
        <f>IF('Table 3a'!B46="","",'Table 3a'!B46)</f>
        <v>2</v>
      </c>
      <c r="C45" s="644" t="str">
        <f>IF('Table 3a'!C46="","",'Table 3a'!C46)</f>
        <v>Balsall Common Primary School</v>
      </c>
      <c r="D45" s="645">
        <f>IF('Table 3a'!D46="","",'Table 3a'!D46)</f>
        <v>2050</v>
      </c>
      <c r="E45" s="646">
        <f>IF('Table 3a'!AC46="","",'Table 3a'!AC46)</f>
        <v>1365405.8</v>
      </c>
      <c r="F45" s="646">
        <f>IF('Table 3a'!AJ46="","",'Table 3a'!AJ46)</f>
        <v>83986</v>
      </c>
      <c r="G45" s="647"/>
      <c r="H45" s="646">
        <f>IF('Table 3a'!AO46="","",'Table 3a'!AO46)</f>
        <v>0</v>
      </c>
      <c r="I45" s="646">
        <f>IF('Table 3a'!AU46="","",'Table 3a'!AU46)</f>
        <v>65424</v>
      </c>
      <c r="J45" s="646">
        <f>IF('Table 3a'!AX46="","",'Table 3a'!AX46)</f>
        <v>3265</v>
      </c>
      <c r="K45" s="646">
        <f>IF('Table 3a'!BC46="","",'Table 3a'!BC46)</f>
        <v>22284</v>
      </c>
      <c r="L45" s="646">
        <f>IF('Table 3a'!BI46="","",'Table 3a'!BI46)</f>
        <v>8533</v>
      </c>
      <c r="M45" s="646">
        <f>IF('Table 3a'!BN46="","",'Table 3a'!BN46)</f>
        <v>109101</v>
      </c>
      <c r="N45" s="646">
        <f>IF('Table 3a'!BT46="","",'Table 3a'!BT46)</f>
        <v>92521</v>
      </c>
      <c r="O45" s="646">
        <f>IF('Table 3a'!BW46="","",'Table 3a'!BW46)</f>
        <v>0</v>
      </c>
      <c r="P45" s="646">
        <f>IF('Table 3a'!BX46="","",'Table 3a'!BX46)</f>
        <v>0</v>
      </c>
      <c r="Q45" s="646">
        <f t="shared" si="7"/>
        <v>1750519.8</v>
      </c>
      <c r="R45" s="646">
        <f>IF('Table 3a'!AB46="","",'Table 3a'!AB46)</f>
        <v>629</v>
      </c>
      <c r="S45" s="646">
        <f t="shared" si="8"/>
        <v>2783.020349761526</v>
      </c>
      <c r="T45" s="649" t="s">
        <v>642</v>
      </c>
      <c r="U45" s="649">
        <v>89111.33379839337</v>
      </c>
      <c r="V45" s="649">
        <v>8783</v>
      </c>
      <c r="W45" s="651"/>
      <c r="X45" s="649">
        <v>39338</v>
      </c>
      <c r="Y45" s="649">
        <v>0</v>
      </c>
      <c r="Z45" s="649">
        <v>0</v>
      </c>
      <c r="AA45" s="649">
        <v>0</v>
      </c>
      <c r="AB45" s="649">
        <v>0</v>
      </c>
      <c r="AC45" s="649">
        <f t="shared" si="9"/>
        <v>68689</v>
      </c>
      <c r="AD45" s="647"/>
      <c r="AE45" s="652"/>
      <c r="AF45" s="653"/>
      <c r="AG45" s="654"/>
      <c r="AH45" s="655"/>
      <c r="AI45" s="656"/>
      <c r="AJ45" s="657"/>
      <c r="AK45" s="658"/>
      <c r="AL45" s="658"/>
      <c r="AM45" s="658"/>
      <c r="AN45" s="657"/>
      <c r="AO45" s="658"/>
      <c r="AP45" s="658"/>
      <c r="AQ45" s="658"/>
      <c r="AR45" s="682"/>
      <c r="AS45" s="660">
        <f t="shared" si="10"/>
      </c>
      <c r="AT45" s="660">
        <f>IF(OR(OR(AND(C45="",D45&lt;&gt;""),AND(C45&lt;&gt;"",D45="")),AND(OR(SUM(Q45)&lt;&gt;0,SUM(R45)&lt;&gt;0,AND(U45&lt;&gt;"",U45&lt;&gt;0),AND(V45&lt;&gt;"",V45&lt;&gt;0),AND(W45&lt;&gt;"",W45&lt;&gt;0),AND(X45&lt;&gt;"",X45&lt;&gt;0),AND(Y45&lt;&gt;"",Y45&lt;&gt;0),AND(Z45&lt;&gt;"",Z45&lt;&gt;0),AND(AA45&lt;&gt;"",AA45&lt;&gt;0),AND(AB45&lt;&gt;"",AB45&lt;&gt;0),AND(AC45&lt;&gt;"",AC45&lt;&gt;0),AND(AD45&lt;&gt;"",AD45&lt;&gt;0),AE45&lt;&gt;"",AF45&lt;&gt;""),OR(C45="",D45=""))),"Error 2.11",IF(AND(C45&lt;&gt;"",ISNUMBER(D45)=FALSE),"Error 1.2",IF(AND(C45&lt;&gt;"",'Table 3a'!D46-INT('Table 3a'!D46)&lt;&gt;0),"Error 2.1",IF(AND(C45&lt;&gt;"",OR(D45&lt;2000,AND(D45&gt;3999,D45&lt;5200),AND(D45&gt;5299,D45&lt;5940),D45&gt;5949)),"Error 2.3",IF(AND(C45&lt;&gt;"",COUNTIF(startdfes:enddfes,D45)&gt;1),"Warning 1.2","")))))</f>
      </c>
      <c r="AU45" s="660">
        <f>IF(AND(OR(E45="",E45=0),C45="",D45=""),"",IF(AND(OR(C45&lt;&gt;"",D45&lt;&gt;""),E45=""),"Error 4.10.2",IF(AND(E45&lt;&gt;"",ISNUMBER(E45)=FALSE),"Error 1.2",IF(E45&lt;=0,"Error 1.4",IF('Table 3a'!AC46&lt;&gt;'Table 3a'!CA46,"Warning 2.7","")))))</f>
      </c>
      <c r="AV45" s="660">
        <f t="shared" si="11"/>
      </c>
      <c r="AW45" s="661"/>
      <c r="AX45" s="660">
        <f t="shared" si="12"/>
      </c>
      <c r="AY45" s="660">
        <f t="shared" si="13"/>
      </c>
      <c r="AZ45" s="660">
        <f t="shared" si="14"/>
      </c>
      <c r="BA45" s="660">
        <f t="shared" si="15"/>
      </c>
      <c r="BB45" s="660">
        <f t="shared" si="16"/>
      </c>
      <c r="BC45" s="660">
        <f t="shared" si="17"/>
      </c>
      <c r="BD45" s="660">
        <f t="shared" si="18"/>
      </c>
      <c r="BE45" s="660">
        <f t="shared" si="19"/>
      </c>
      <c r="BF45" s="660">
        <f t="shared" si="20"/>
      </c>
      <c r="BG45" s="660">
        <f>IF(AND(OR(Q45="",Q45=0),C45="",D45=""),"",IF(AND(OR(C45&lt;&gt;"",D45&lt;&gt;""),Q45=""),"Error 4.10.2",IF(AND(Q45&lt;&gt;"",ISNUMBER(Q45)=FALSE),"Error 1.2",IF(AND(OR(Q45&lt;10000,Q45&gt;10000000)),"Error 3.2.1",IF(ABS(('Table 3a'!BY46*2)-'Table 3a'!BZ46)&gt;50,"Error 3.7","")))))</f>
      </c>
      <c r="BH45" s="660">
        <f t="shared" si="21"/>
      </c>
      <c r="BI45" s="660">
        <f t="shared" si="22"/>
      </c>
      <c r="BJ45" s="660">
        <f t="shared" si="23"/>
      </c>
      <c r="BK45" s="660">
        <f t="shared" si="24"/>
      </c>
      <c r="BL45" s="660">
        <f t="shared" si="25"/>
      </c>
      <c r="BM45" s="663"/>
      <c r="BN45" s="660">
        <f t="shared" si="26"/>
      </c>
      <c r="BO45" s="660">
        <f t="shared" si="27"/>
      </c>
      <c r="BP45" s="660">
        <f t="shared" si="28"/>
      </c>
      <c r="BQ45" s="660">
        <f t="shared" si="29"/>
      </c>
      <c r="BR45" s="660">
        <f t="shared" si="30"/>
      </c>
      <c r="BS45" s="660">
        <f t="shared" si="31"/>
      </c>
      <c r="BT45" s="662"/>
      <c r="BU45" s="660">
        <f t="shared" si="32"/>
      </c>
      <c r="BV45" s="660">
        <f t="shared" si="33"/>
      </c>
      <c r="BW45" s="605">
        <f t="shared" si="34"/>
        <v>0</v>
      </c>
      <c r="BX45" s="660">
        <f t="shared" si="35"/>
      </c>
      <c r="BY45" s="664"/>
      <c r="BZ45" s="664"/>
      <c r="CA45" s="665"/>
      <c r="CB45" s="665"/>
      <c r="CC45" s="666"/>
      <c r="CD45" s="154"/>
      <c r="DG45" s="3"/>
    </row>
    <row r="46" spans="1:111" s="52" customFormat="1" ht="12.75">
      <c r="A46" s="681"/>
      <c r="B46" s="645">
        <f>IF('Table 3a'!B47="","",'Table 3a'!B47)</f>
        <v>36</v>
      </c>
      <c r="C46" s="644" t="str">
        <f>IF('Table 3a'!C47="","",'Table 3a'!C47)</f>
        <v>Marston Green Junior School</v>
      </c>
      <c r="D46" s="645">
        <f>IF('Table 3a'!D47="","",'Table 3a'!D47)</f>
        <v>2051</v>
      </c>
      <c r="E46" s="646">
        <f>IF('Table 3a'!AC47="","",'Table 3a'!AC47)</f>
        <v>723885.26</v>
      </c>
      <c r="F46" s="646">
        <f>IF('Table 3a'!AJ47="","",'Table 3a'!AJ47)</f>
        <v>0</v>
      </c>
      <c r="G46" s="647"/>
      <c r="H46" s="646">
        <f>IF('Table 3a'!AO47="","",'Table 3a'!AO47)</f>
        <v>0</v>
      </c>
      <c r="I46" s="646">
        <f>IF('Table 3a'!AU47="","",'Table 3a'!AU47)</f>
        <v>50736</v>
      </c>
      <c r="J46" s="646">
        <f>IF('Table 3a'!AX47="","",'Table 3a'!AX47)</f>
        <v>23414</v>
      </c>
      <c r="K46" s="646">
        <f>IF('Table 3a'!BC47="","",'Table 3a'!BC47)</f>
        <v>16904</v>
      </c>
      <c r="L46" s="646">
        <f>IF('Table 3a'!BI47="","",'Table 3a'!BI47)</f>
        <v>16515</v>
      </c>
      <c r="M46" s="646">
        <f>IF('Table 3a'!BN47="","",'Table 3a'!BN47)</f>
        <v>54957</v>
      </c>
      <c r="N46" s="646">
        <f>IF('Table 3a'!BT47="","",'Table 3a'!BT47)</f>
        <v>86125</v>
      </c>
      <c r="O46" s="646">
        <f>IF('Table 3a'!BW47="","",'Table 3a'!BW47)</f>
        <v>0</v>
      </c>
      <c r="P46" s="646">
        <f>IF('Table 3a'!BX47="","",'Table 3a'!BX47)</f>
        <v>0</v>
      </c>
      <c r="Q46" s="646">
        <f t="shared" si="7"/>
        <v>972536.26</v>
      </c>
      <c r="R46" s="646">
        <f>IF('Table 3a'!AB47="","",'Table 3a'!AB47)</f>
        <v>334</v>
      </c>
      <c r="S46" s="646">
        <f t="shared" si="8"/>
        <v>2911.7852095808385</v>
      </c>
      <c r="T46" s="649" t="s">
        <v>642</v>
      </c>
      <c r="U46" s="649">
        <v>54286.30130560373</v>
      </c>
      <c r="V46" s="649">
        <v>4372</v>
      </c>
      <c r="W46" s="651"/>
      <c r="X46" s="649">
        <v>34348</v>
      </c>
      <c r="Y46" s="649">
        <v>0</v>
      </c>
      <c r="Z46" s="649">
        <v>0</v>
      </c>
      <c r="AA46" s="649">
        <v>0</v>
      </c>
      <c r="AB46" s="649">
        <v>0</v>
      </c>
      <c r="AC46" s="649">
        <f t="shared" si="9"/>
        <v>74150</v>
      </c>
      <c r="AD46" s="647"/>
      <c r="AE46" s="652"/>
      <c r="AF46" s="653"/>
      <c r="AG46" s="654"/>
      <c r="AH46" s="655"/>
      <c r="AI46" s="656"/>
      <c r="AJ46" s="657"/>
      <c r="AK46" s="658"/>
      <c r="AL46" s="658"/>
      <c r="AM46" s="658"/>
      <c r="AN46" s="657"/>
      <c r="AO46" s="658"/>
      <c r="AP46" s="658"/>
      <c r="AQ46" s="658"/>
      <c r="AR46" s="682"/>
      <c r="AS46" s="660">
        <f t="shared" si="10"/>
      </c>
      <c r="AT46" s="660">
        <f>IF(OR(OR(AND(C46="",D46&lt;&gt;""),AND(C46&lt;&gt;"",D46="")),AND(OR(SUM(Q46)&lt;&gt;0,SUM(R46)&lt;&gt;0,AND(U46&lt;&gt;"",U46&lt;&gt;0),AND(V46&lt;&gt;"",V46&lt;&gt;0),AND(W46&lt;&gt;"",W46&lt;&gt;0),AND(X46&lt;&gt;"",X46&lt;&gt;0),AND(Y46&lt;&gt;"",Y46&lt;&gt;0),AND(Z46&lt;&gt;"",Z46&lt;&gt;0),AND(AA46&lt;&gt;"",AA46&lt;&gt;0),AND(AB46&lt;&gt;"",AB46&lt;&gt;0),AND(AC46&lt;&gt;"",AC46&lt;&gt;0),AND(AD46&lt;&gt;"",AD46&lt;&gt;0),AE46&lt;&gt;"",AF46&lt;&gt;""),OR(C46="",D46=""))),"Error 2.11",IF(AND(C46&lt;&gt;"",ISNUMBER(D46)=FALSE),"Error 1.2",IF(AND(C46&lt;&gt;"",'Table 3a'!D47-INT('Table 3a'!D47)&lt;&gt;0),"Error 2.1",IF(AND(C46&lt;&gt;"",OR(D46&lt;2000,AND(D46&gt;3999,D46&lt;5200),AND(D46&gt;5299,D46&lt;5940),D46&gt;5949)),"Error 2.3",IF(AND(C46&lt;&gt;"",COUNTIF(startdfes:enddfes,D46)&gt;1),"Warning 1.2","")))))</f>
      </c>
      <c r="AU46" s="660">
        <f>IF(AND(OR(E46="",E46=0),C46="",D46=""),"",IF(AND(OR(C46&lt;&gt;"",D46&lt;&gt;""),E46=""),"Error 4.10.2",IF(AND(E46&lt;&gt;"",ISNUMBER(E46)=FALSE),"Error 1.2",IF(E46&lt;=0,"Error 1.4",IF('Table 3a'!AC47&lt;&gt;'Table 3a'!CA47,"Warning 2.7","")))))</f>
      </c>
      <c r="AV46" s="660">
        <f t="shared" si="11"/>
      </c>
      <c r="AW46" s="661"/>
      <c r="AX46" s="660">
        <f t="shared" si="12"/>
      </c>
      <c r="AY46" s="660">
        <f t="shared" si="13"/>
      </c>
      <c r="AZ46" s="660">
        <f t="shared" si="14"/>
      </c>
      <c r="BA46" s="660">
        <f t="shared" si="15"/>
      </c>
      <c r="BB46" s="660">
        <f t="shared" si="16"/>
      </c>
      <c r="BC46" s="660">
        <f t="shared" si="17"/>
      </c>
      <c r="BD46" s="660">
        <f t="shared" si="18"/>
      </c>
      <c r="BE46" s="660">
        <f t="shared" si="19"/>
      </c>
      <c r="BF46" s="660">
        <f t="shared" si="20"/>
      </c>
      <c r="BG46" s="660">
        <f>IF(AND(OR(Q46="",Q46=0),C46="",D46=""),"",IF(AND(OR(C46&lt;&gt;"",D46&lt;&gt;""),Q46=""),"Error 4.10.2",IF(AND(Q46&lt;&gt;"",ISNUMBER(Q46)=FALSE),"Error 1.2",IF(AND(OR(Q46&lt;10000,Q46&gt;10000000)),"Error 3.2.1",IF(ABS(('Table 3a'!BY47*2)-'Table 3a'!BZ47)&gt;50,"Error 3.7","")))))</f>
      </c>
      <c r="BH46" s="660">
        <f t="shared" si="21"/>
      </c>
      <c r="BI46" s="660">
        <f t="shared" si="22"/>
      </c>
      <c r="BJ46" s="660">
        <f t="shared" si="23"/>
      </c>
      <c r="BK46" s="660">
        <f t="shared" si="24"/>
      </c>
      <c r="BL46" s="660">
        <f t="shared" si="25"/>
      </c>
      <c r="BM46" s="663"/>
      <c r="BN46" s="660">
        <f t="shared" si="26"/>
      </c>
      <c r="BO46" s="660">
        <f t="shared" si="27"/>
      </c>
      <c r="BP46" s="660">
        <f t="shared" si="28"/>
      </c>
      <c r="BQ46" s="660">
        <f t="shared" si="29"/>
      </c>
      <c r="BR46" s="660">
        <f t="shared" si="30"/>
      </c>
      <c r="BS46" s="660">
        <f t="shared" si="31"/>
      </c>
      <c r="BT46" s="662"/>
      <c r="BU46" s="660">
        <f t="shared" si="32"/>
      </c>
      <c r="BV46" s="660">
        <f t="shared" si="33"/>
      </c>
      <c r="BW46" s="605">
        <f t="shared" si="34"/>
        <v>0</v>
      </c>
      <c r="BX46" s="660">
        <f t="shared" si="35"/>
      </c>
      <c r="BY46" s="664"/>
      <c r="BZ46" s="664"/>
      <c r="CA46" s="665"/>
      <c r="CB46" s="665"/>
      <c r="CC46" s="666"/>
      <c r="CD46" s="154"/>
      <c r="DG46" s="3"/>
    </row>
    <row r="47" spans="1:111" s="52" customFormat="1" ht="12.75">
      <c r="A47" s="681"/>
      <c r="B47" s="645">
        <f>IF('Table 3a'!B48="","",'Table 3a'!B48)</f>
        <v>27</v>
      </c>
      <c r="C47" s="644" t="str">
        <f>IF('Table 3a'!C48="","",'Table 3a'!C48)</f>
        <v>Hockley Heath Primary School</v>
      </c>
      <c r="D47" s="645">
        <f>IF('Table 3a'!D48="","",'Table 3a'!D48)</f>
        <v>2057</v>
      </c>
      <c r="E47" s="646">
        <f>IF('Table 3a'!AC48="","",'Table 3a'!AC48)</f>
        <v>444474.97</v>
      </c>
      <c r="F47" s="646">
        <f>IF('Table 3a'!AJ48="","",'Table 3a'!AJ48)</f>
        <v>36856</v>
      </c>
      <c r="G47" s="647"/>
      <c r="H47" s="646">
        <f>IF('Table 3a'!AO48="","",'Table 3a'!AO48)</f>
        <v>0</v>
      </c>
      <c r="I47" s="646">
        <f>IF('Table 3a'!AU48="","",'Table 3a'!AU48)</f>
        <v>21132</v>
      </c>
      <c r="J47" s="646">
        <f>IF('Table 3a'!AX48="","",'Table 3a'!AX48)</f>
        <v>12224</v>
      </c>
      <c r="K47" s="646">
        <f>IF('Table 3a'!BC48="","",'Table 3a'!BC48)</f>
        <v>3366</v>
      </c>
      <c r="L47" s="646">
        <f>IF('Table 3a'!BI48="","",'Table 3a'!BI48)</f>
        <v>2053</v>
      </c>
      <c r="M47" s="646">
        <f>IF('Table 3a'!BN48="","",'Table 3a'!BN48)</f>
        <v>46793</v>
      </c>
      <c r="N47" s="646">
        <f>IF('Table 3a'!BT48="","",'Table 3a'!BT48)</f>
        <v>110952</v>
      </c>
      <c r="O47" s="646">
        <f>IF('Table 3a'!BW48="","",'Table 3a'!BW48)</f>
        <v>0</v>
      </c>
      <c r="P47" s="646">
        <f>IF('Table 3a'!BX48="","",'Table 3a'!BX48)</f>
        <v>0</v>
      </c>
      <c r="Q47" s="646">
        <f t="shared" si="7"/>
        <v>677850.97</v>
      </c>
      <c r="R47" s="646">
        <f>IF('Table 3a'!AB48="","",'Table 3a'!AB48)</f>
        <v>208</v>
      </c>
      <c r="S47" s="646">
        <f t="shared" si="8"/>
        <v>3258.898894230769</v>
      </c>
      <c r="T47" s="649" t="s">
        <v>642</v>
      </c>
      <c r="U47" s="649">
        <v>37536.39714438754</v>
      </c>
      <c r="V47" s="649">
        <v>1887</v>
      </c>
      <c r="W47" s="651"/>
      <c r="X47" s="649">
        <v>14959</v>
      </c>
      <c r="Y47" s="649">
        <v>0</v>
      </c>
      <c r="Z47" s="649">
        <v>0</v>
      </c>
      <c r="AA47" s="649">
        <v>0</v>
      </c>
      <c r="AB47" s="649">
        <v>0</v>
      </c>
      <c r="AC47" s="649">
        <f t="shared" si="9"/>
        <v>33356</v>
      </c>
      <c r="AD47" s="647"/>
      <c r="AE47" s="652"/>
      <c r="AF47" s="653"/>
      <c r="AG47" s="654"/>
      <c r="AH47" s="655"/>
      <c r="AI47" s="656"/>
      <c r="AJ47" s="657"/>
      <c r="AK47" s="658"/>
      <c r="AL47" s="658"/>
      <c r="AM47" s="658"/>
      <c r="AN47" s="657"/>
      <c r="AO47" s="658"/>
      <c r="AP47" s="658"/>
      <c r="AQ47" s="658"/>
      <c r="AR47" s="682"/>
      <c r="AS47" s="660">
        <f t="shared" si="10"/>
      </c>
      <c r="AT47" s="660">
        <f>IF(OR(OR(AND(C47="",D47&lt;&gt;""),AND(C47&lt;&gt;"",D47="")),AND(OR(SUM(Q47)&lt;&gt;0,SUM(R47)&lt;&gt;0,AND(U47&lt;&gt;"",U47&lt;&gt;0),AND(V47&lt;&gt;"",V47&lt;&gt;0),AND(W47&lt;&gt;"",W47&lt;&gt;0),AND(X47&lt;&gt;"",X47&lt;&gt;0),AND(Y47&lt;&gt;"",Y47&lt;&gt;0),AND(Z47&lt;&gt;"",Z47&lt;&gt;0),AND(AA47&lt;&gt;"",AA47&lt;&gt;0),AND(AB47&lt;&gt;"",AB47&lt;&gt;0),AND(AC47&lt;&gt;"",AC47&lt;&gt;0),AND(AD47&lt;&gt;"",AD47&lt;&gt;0),AE47&lt;&gt;"",AF47&lt;&gt;""),OR(C47="",D47=""))),"Error 2.11",IF(AND(C47&lt;&gt;"",ISNUMBER(D47)=FALSE),"Error 1.2",IF(AND(C47&lt;&gt;"",'Table 3a'!D48-INT('Table 3a'!D48)&lt;&gt;0),"Error 2.1",IF(AND(C47&lt;&gt;"",OR(D47&lt;2000,AND(D47&gt;3999,D47&lt;5200),AND(D47&gt;5299,D47&lt;5940),D47&gt;5949)),"Error 2.3",IF(AND(C47&lt;&gt;"",COUNTIF(startdfes:enddfes,D47)&gt;1),"Warning 1.2","")))))</f>
      </c>
      <c r="AU47" s="660">
        <f>IF(AND(OR(E47="",E47=0),C47="",D47=""),"",IF(AND(OR(C47&lt;&gt;"",D47&lt;&gt;""),E47=""),"Error 4.10.2",IF(AND(E47&lt;&gt;"",ISNUMBER(E47)=FALSE),"Error 1.2",IF(E47&lt;=0,"Error 1.4",IF('Table 3a'!AC48&lt;&gt;'Table 3a'!CA48,"Warning 2.7","")))))</f>
      </c>
      <c r="AV47" s="660">
        <f t="shared" si="11"/>
      </c>
      <c r="AW47" s="661"/>
      <c r="AX47" s="660">
        <f t="shared" si="12"/>
      </c>
      <c r="AY47" s="660">
        <f t="shared" si="13"/>
      </c>
      <c r="AZ47" s="660">
        <f t="shared" si="14"/>
      </c>
      <c r="BA47" s="660">
        <f t="shared" si="15"/>
      </c>
      <c r="BB47" s="660">
        <f t="shared" si="16"/>
      </c>
      <c r="BC47" s="660">
        <f t="shared" si="17"/>
      </c>
      <c r="BD47" s="660">
        <f t="shared" si="18"/>
      </c>
      <c r="BE47" s="660">
        <f t="shared" si="19"/>
      </c>
      <c r="BF47" s="660">
        <f t="shared" si="20"/>
      </c>
      <c r="BG47" s="660">
        <f>IF(AND(OR(Q47="",Q47=0),C47="",D47=""),"",IF(AND(OR(C47&lt;&gt;"",D47&lt;&gt;""),Q47=""),"Error 4.10.2",IF(AND(Q47&lt;&gt;"",ISNUMBER(Q47)=FALSE),"Error 1.2",IF(AND(OR(Q47&lt;10000,Q47&gt;10000000)),"Error 3.2.1",IF(ABS(('Table 3a'!BY48*2)-'Table 3a'!BZ48)&gt;50,"Error 3.7","")))))</f>
      </c>
      <c r="BH47" s="660">
        <f t="shared" si="21"/>
      </c>
      <c r="BI47" s="660">
        <f t="shared" si="22"/>
      </c>
      <c r="BJ47" s="660">
        <f t="shared" si="23"/>
      </c>
      <c r="BK47" s="660">
        <f t="shared" si="24"/>
      </c>
      <c r="BL47" s="660">
        <f t="shared" si="25"/>
      </c>
      <c r="BM47" s="663"/>
      <c r="BN47" s="660">
        <f t="shared" si="26"/>
      </c>
      <c r="BO47" s="660">
        <f t="shared" si="27"/>
      </c>
      <c r="BP47" s="660">
        <f t="shared" si="28"/>
      </c>
      <c r="BQ47" s="660">
        <f t="shared" si="29"/>
      </c>
      <c r="BR47" s="660">
        <f t="shared" si="30"/>
      </c>
      <c r="BS47" s="660">
        <f t="shared" si="31"/>
      </c>
      <c r="BT47" s="662"/>
      <c r="BU47" s="660">
        <f t="shared" si="32"/>
      </c>
      <c r="BV47" s="660">
        <f t="shared" si="33"/>
      </c>
      <c r="BW47" s="605">
        <f t="shared" si="34"/>
        <v>0</v>
      </c>
      <c r="BX47" s="660">
        <f t="shared" si="35"/>
      </c>
      <c r="BY47" s="664"/>
      <c r="BZ47" s="664"/>
      <c r="CA47" s="665"/>
      <c r="CB47" s="665"/>
      <c r="CC47" s="666"/>
      <c r="CD47" s="154"/>
      <c r="DG47" s="3"/>
    </row>
    <row r="48" spans="1:111" s="52" customFormat="1" ht="12.75">
      <c r="A48" s="681"/>
      <c r="B48" s="645">
        <f>IF('Table 3a'!B49="","",'Table 3a'!B49)</f>
        <v>60</v>
      </c>
      <c r="C48" s="644" t="str">
        <f>IF('Table 3a'!C49="","",'Table 3a'!C49)</f>
        <v>Tidbury Green School</v>
      </c>
      <c r="D48" s="645">
        <f>IF('Table 3a'!D49="","",'Table 3a'!D49)</f>
        <v>2058</v>
      </c>
      <c r="E48" s="646">
        <f>IF('Table 3a'!AC49="","",'Table 3a'!AC49)</f>
        <v>474541.63000000006</v>
      </c>
      <c r="F48" s="646">
        <f>IF('Table 3a'!AJ49="","",'Table 3a'!AJ49)</f>
        <v>37134</v>
      </c>
      <c r="G48" s="647"/>
      <c r="H48" s="646">
        <f>IF('Table 3a'!AO49="","",'Table 3a'!AO49)</f>
        <v>0</v>
      </c>
      <c r="I48" s="646">
        <f>IF('Table 3a'!AU49="","",'Table 3a'!AU49)</f>
        <v>28187</v>
      </c>
      <c r="J48" s="646">
        <f>IF('Table 3a'!AX49="","",'Table 3a'!AX49)</f>
        <v>3699</v>
      </c>
      <c r="K48" s="646">
        <f>IF('Table 3a'!BC49="","",'Table 3a'!BC49)</f>
        <v>8575</v>
      </c>
      <c r="L48" s="646">
        <f>IF('Table 3a'!BI49="","",'Table 3a'!BI49)</f>
        <v>4476</v>
      </c>
      <c r="M48" s="646">
        <f>IF('Table 3a'!BN49="","",'Table 3a'!BN49)</f>
        <v>104940</v>
      </c>
      <c r="N48" s="646">
        <f>IF('Table 3a'!BT49="","",'Table 3a'!BT49)</f>
        <v>124626</v>
      </c>
      <c r="O48" s="646">
        <f>IF('Table 3a'!BW49="","",'Table 3a'!BW49)</f>
        <v>0</v>
      </c>
      <c r="P48" s="646">
        <f>IF('Table 3a'!BX49="","",'Table 3a'!BX49)</f>
        <v>0</v>
      </c>
      <c r="Q48" s="646">
        <f t="shared" si="7"/>
        <v>786178.6300000001</v>
      </c>
      <c r="R48" s="646">
        <f>IF('Table 3a'!AB49="","",'Table 3a'!AB49)</f>
        <v>219</v>
      </c>
      <c r="S48" s="646">
        <f t="shared" si="8"/>
        <v>3589.856757990868</v>
      </c>
      <c r="T48" s="649" t="s">
        <v>642</v>
      </c>
      <c r="U48" s="649">
        <v>38664.71861327231</v>
      </c>
      <c r="V48" s="649">
        <v>2861</v>
      </c>
      <c r="W48" s="651"/>
      <c r="X48" s="649">
        <v>19310</v>
      </c>
      <c r="Y48" s="649">
        <v>0</v>
      </c>
      <c r="Z48" s="649">
        <v>0</v>
      </c>
      <c r="AA48" s="649">
        <v>0</v>
      </c>
      <c r="AB48" s="649">
        <v>0</v>
      </c>
      <c r="AC48" s="649">
        <f t="shared" si="9"/>
        <v>31886</v>
      </c>
      <c r="AD48" s="647"/>
      <c r="AE48" s="652"/>
      <c r="AF48" s="653"/>
      <c r="AG48" s="654"/>
      <c r="AH48" s="655"/>
      <c r="AI48" s="656"/>
      <c r="AJ48" s="657"/>
      <c r="AK48" s="658"/>
      <c r="AL48" s="658"/>
      <c r="AM48" s="658"/>
      <c r="AN48" s="657"/>
      <c r="AO48" s="658"/>
      <c r="AP48" s="658"/>
      <c r="AQ48" s="658"/>
      <c r="AR48" s="682"/>
      <c r="AS48" s="660">
        <f t="shared" si="10"/>
      </c>
      <c r="AT48" s="660">
        <f>IF(OR(OR(AND(C48="",D48&lt;&gt;""),AND(C48&lt;&gt;"",D48="")),AND(OR(SUM(Q48)&lt;&gt;0,SUM(R48)&lt;&gt;0,AND(U48&lt;&gt;"",U48&lt;&gt;0),AND(V48&lt;&gt;"",V48&lt;&gt;0),AND(W48&lt;&gt;"",W48&lt;&gt;0),AND(X48&lt;&gt;"",X48&lt;&gt;0),AND(Y48&lt;&gt;"",Y48&lt;&gt;0),AND(Z48&lt;&gt;"",Z48&lt;&gt;0),AND(AA48&lt;&gt;"",AA48&lt;&gt;0),AND(AB48&lt;&gt;"",AB48&lt;&gt;0),AND(AC48&lt;&gt;"",AC48&lt;&gt;0),AND(AD48&lt;&gt;"",AD48&lt;&gt;0),AE48&lt;&gt;"",AF48&lt;&gt;""),OR(C48="",D48=""))),"Error 2.11",IF(AND(C48&lt;&gt;"",ISNUMBER(D48)=FALSE),"Error 1.2",IF(AND(C48&lt;&gt;"",'Table 3a'!D49-INT('Table 3a'!D49)&lt;&gt;0),"Error 2.1",IF(AND(C48&lt;&gt;"",OR(D48&lt;2000,AND(D48&gt;3999,D48&lt;5200),AND(D48&gt;5299,D48&lt;5940),D48&gt;5949)),"Error 2.3",IF(AND(C48&lt;&gt;"",COUNTIF(startdfes:enddfes,D48)&gt;1),"Warning 1.2","")))))</f>
      </c>
      <c r="AU48" s="660">
        <f>IF(AND(OR(E48="",E48=0),C48="",D48=""),"",IF(AND(OR(C48&lt;&gt;"",D48&lt;&gt;""),E48=""),"Error 4.10.2",IF(AND(E48&lt;&gt;"",ISNUMBER(E48)=FALSE),"Error 1.2",IF(E48&lt;=0,"Error 1.4",IF('Table 3a'!AC49&lt;&gt;'Table 3a'!CA49,"Warning 2.7","")))))</f>
      </c>
      <c r="AV48" s="660">
        <f t="shared" si="11"/>
      </c>
      <c r="AW48" s="661"/>
      <c r="AX48" s="660">
        <f t="shared" si="12"/>
      </c>
      <c r="AY48" s="660">
        <f t="shared" si="13"/>
      </c>
      <c r="AZ48" s="660">
        <f t="shared" si="14"/>
      </c>
      <c r="BA48" s="660">
        <f t="shared" si="15"/>
      </c>
      <c r="BB48" s="660">
        <f t="shared" si="16"/>
      </c>
      <c r="BC48" s="660">
        <f t="shared" si="17"/>
      </c>
      <c r="BD48" s="660">
        <f t="shared" si="18"/>
      </c>
      <c r="BE48" s="660">
        <f t="shared" si="19"/>
      </c>
      <c r="BF48" s="660">
        <f t="shared" si="20"/>
      </c>
      <c r="BG48" s="660">
        <f>IF(AND(OR(Q48="",Q48=0),C48="",D48=""),"",IF(AND(OR(C48&lt;&gt;"",D48&lt;&gt;""),Q48=""),"Error 4.10.2",IF(AND(Q48&lt;&gt;"",ISNUMBER(Q48)=FALSE),"Error 1.2",IF(AND(OR(Q48&lt;10000,Q48&gt;10000000)),"Error 3.2.1",IF(ABS(('Table 3a'!BY49*2)-'Table 3a'!BZ49)&gt;50,"Error 3.7","")))))</f>
      </c>
      <c r="BH48" s="660">
        <f t="shared" si="21"/>
      </c>
      <c r="BI48" s="660">
        <f t="shared" si="22"/>
      </c>
      <c r="BJ48" s="660">
        <f t="shared" si="23"/>
      </c>
      <c r="BK48" s="660">
        <f t="shared" si="24"/>
      </c>
      <c r="BL48" s="660">
        <f t="shared" si="25"/>
      </c>
      <c r="BM48" s="663"/>
      <c r="BN48" s="660">
        <f t="shared" si="26"/>
      </c>
      <c r="BO48" s="660">
        <f t="shared" si="27"/>
      </c>
      <c r="BP48" s="660">
        <f t="shared" si="28"/>
      </c>
      <c r="BQ48" s="660">
        <f t="shared" si="29"/>
      </c>
      <c r="BR48" s="660">
        <f t="shared" si="30"/>
      </c>
      <c r="BS48" s="660">
        <f t="shared" si="31"/>
      </c>
      <c r="BT48" s="662"/>
      <c r="BU48" s="660">
        <f t="shared" si="32"/>
      </c>
      <c r="BV48" s="660">
        <f t="shared" si="33"/>
      </c>
      <c r="BW48" s="605">
        <f t="shared" si="34"/>
        <v>0</v>
      </c>
      <c r="BX48" s="660">
        <f t="shared" si="35"/>
      </c>
      <c r="BY48" s="664"/>
      <c r="BZ48" s="664"/>
      <c r="CA48" s="665"/>
      <c r="CB48" s="665"/>
      <c r="CC48" s="666"/>
      <c r="CD48" s="154"/>
      <c r="DG48" s="3"/>
    </row>
    <row r="49" spans="1:111" s="52" customFormat="1" ht="12.75">
      <c r="A49" s="681"/>
      <c r="B49" s="645">
        <f>IF('Table 3a'!B50="","",'Table 3a'!B50)</f>
        <v>11</v>
      </c>
      <c r="C49" s="644" t="str">
        <f>IF('Table 3a'!C50="","",'Table 3a'!C50)</f>
        <v>Castle Bromwich Junior School</v>
      </c>
      <c r="D49" s="645">
        <f>IF('Table 3a'!D50="","",'Table 3a'!D50)</f>
        <v>2059</v>
      </c>
      <c r="E49" s="646">
        <f>IF('Table 3a'!AC50="","",'Table 3a'!AC50)</f>
        <v>1018339.1000000001</v>
      </c>
      <c r="F49" s="646">
        <f>IF('Table 3a'!AJ50="","",'Table 3a'!AJ50)</f>
        <v>0</v>
      </c>
      <c r="G49" s="647"/>
      <c r="H49" s="646">
        <f>IF('Table 3a'!AO50="","",'Table 3a'!AO50)</f>
        <v>0</v>
      </c>
      <c r="I49" s="646">
        <f>IF('Table 3a'!AU50="","",'Table 3a'!AU50)</f>
        <v>84365</v>
      </c>
      <c r="J49" s="646">
        <f>IF('Table 3a'!AX50="","",'Table 3a'!AX50)</f>
        <v>33941</v>
      </c>
      <c r="K49" s="646">
        <f>IF('Table 3a'!BC50="","",'Table 3a'!BC50)</f>
        <v>33857</v>
      </c>
      <c r="L49" s="646">
        <f>IF('Table 3a'!BI50="","",'Table 3a'!BI50)</f>
        <v>34775</v>
      </c>
      <c r="M49" s="646">
        <f>IF('Table 3a'!BN50="","",'Table 3a'!BN50)</f>
        <v>85903</v>
      </c>
      <c r="N49" s="646">
        <f>IF('Table 3a'!BT50="","",'Table 3a'!BT50)</f>
        <v>89864</v>
      </c>
      <c r="O49" s="646">
        <f>IF('Table 3a'!BW50="","",'Table 3a'!BW50)</f>
        <v>0</v>
      </c>
      <c r="P49" s="646">
        <f>IF('Table 3a'!BX50="","",'Table 3a'!BX50)</f>
        <v>0</v>
      </c>
      <c r="Q49" s="646">
        <f t="shared" si="7"/>
        <v>1381044.1</v>
      </c>
      <c r="R49" s="646">
        <f>IF('Table 3a'!AB50="","",'Table 3a'!AB50)</f>
        <v>470</v>
      </c>
      <c r="S49" s="646">
        <f t="shared" si="8"/>
        <v>2938.3917021276598</v>
      </c>
      <c r="T49" s="649" t="s">
        <v>642</v>
      </c>
      <c r="U49" s="649">
        <v>70020.06962671764</v>
      </c>
      <c r="V49" s="649">
        <v>11335</v>
      </c>
      <c r="W49" s="651"/>
      <c r="X49" s="649">
        <v>47739</v>
      </c>
      <c r="Y49" s="649">
        <v>0</v>
      </c>
      <c r="Z49" s="649">
        <v>0</v>
      </c>
      <c r="AA49" s="649">
        <v>0</v>
      </c>
      <c r="AB49" s="649">
        <v>0</v>
      </c>
      <c r="AC49" s="649">
        <f t="shared" si="9"/>
        <v>118306</v>
      </c>
      <c r="AD49" s="647"/>
      <c r="AE49" s="652"/>
      <c r="AF49" s="653"/>
      <c r="AG49" s="654"/>
      <c r="AH49" s="655"/>
      <c r="AI49" s="656"/>
      <c r="AJ49" s="657"/>
      <c r="AK49" s="658"/>
      <c r="AL49" s="658"/>
      <c r="AM49" s="658"/>
      <c r="AN49" s="657"/>
      <c r="AO49" s="658"/>
      <c r="AP49" s="658"/>
      <c r="AQ49" s="658"/>
      <c r="AR49" s="682"/>
      <c r="AS49" s="660">
        <f t="shared" si="10"/>
      </c>
      <c r="AT49" s="660">
        <f>IF(OR(OR(AND(C49="",D49&lt;&gt;""),AND(C49&lt;&gt;"",D49="")),AND(OR(SUM(Q49)&lt;&gt;0,SUM(R49)&lt;&gt;0,AND(U49&lt;&gt;"",U49&lt;&gt;0),AND(V49&lt;&gt;"",V49&lt;&gt;0),AND(W49&lt;&gt;"",W49&lt;&gt;0),AND(X49&lt;&gt;"",X49&lt;&gt;0),AND(Y49&lt;&gt;"",Y49&lt;&gt;0),AND(Z49&lt;&gt;"",Z49&lt;&gt;0),AND(AA49&lt;&gt;"",AA49&lt;&gt;0),AND(AB49&lt;&gt;"",AB49&lt;&gt;0),AND(AC49&lt;&gt;"",AC49&lt;&gt;0),AND(AD49&lt;&gt;"",AD49&lt;&gt;0),AE49&lt;&gt;"",AF49&lt;&gt;""),OR(C49="",D49=""))),"Error 2.11",IF(AND(C49&lt;&gt;"",ISNUMBER(D49)=FALSE),"Error 1.2",IF(AND(C49&lt;&gt;"",'Table 3a'!D50-INT('Table 3a'!D50)&lt;&gt;0),"Error 2.1",IF(AND(C49&lt;&gt;"",OR(D49&lt;2000,AND(D49&gt;3999,D49&lt;5200),AND(D49&gt;5299,D49&lt;5940),D49&gt;5949)),"Error 2.3",IF(AND(C49&lt;&gt;"",COUNTIF(startdfes:enddfes,D49)&gt;1),"Warning 1.2","")))))</f>
      </c>
      <c r="AU49" s="660">
        <f>IF(AND(OR(E49="",E49=0),C49="",D49=""),"",IF(AND(OR(C49&lt;&gt;"",D49&lt;&gt;""),E49=""),"Error 4.10.2",IF(AND(E49&lt;&gt;"",ISNUMBER(E49)=FALSE),"Error 1.2",IF(E49&lt;=0,"Error 1.4",IF('Table 3a'!AC50&lt;&gt;'Table 3a'!CA50,"Warning 2.7","")))))</f>
      </c>
      <c r="AV49" s="660">
        <f t="shared" si="11"/>
      </c>
      <c r="AW49" s="661"/>
      <c r="AX49" s="660">
        <f t="shared" si="12"/>
      </c>
      <c r="AY49" s="660">
        <f t="shared" si="13"/>
      </c>
      <c r="AZ49" s="660">
        <f t="shared" si="14"/>
      </c>
      <c r="BA49" s="660">
        <f t="shared" si="15"/>
      </c>
      <c r="BB49" s="660">
        <f t="shared" si="16"/>
      </c>
      <c r="BC49" s="660">
        <f t="shared" si="17"/>
      </c>
      <c r="BD49" s="660">
        <f t="shared" si="18"/>
      </c>
      <c r="BE49" s="660">
        <f t="shared" si="19"/>
      </c>
      <c r="BF49" s="660">
        <f t="shared" si="20"/>
      </c>
      <c r="BG49" s="660">
        <f>IF(AND(OR(Q49="",Q49=0),C49="",D49=""),"",IF(AND(OR(C49&lt;&gt;"",D49&lt;&gt;""),Q49=""),"Error 4.10.2",IF(AND(Q49&lt;&gt;"",ISNUMBER(Q49)=FALSE),"Error 1.2",IF(AND(OR(Q49&lt;10000,Q49&gt;10000000)),"Error 3.2.1",IF(ABS(('Table 3a'!BY50*2)-'Table 3a'!BZ50)&gt;50,"Error 3.7","")))))</f>
      </c>
      <c r="BH49" s="660">
        <f t="shared" si="21"/>
      </c>
      <c r="BI49" s="660">
        <f t="shared" si="22"/>
      </c>
      <c r="BJ49" s="660">
        <f t="shared" si="23"/>
      </c>
      <c r="BK49" s="660">
        <f t="shared" si="24"/>
      </c>
      <c r="BL49" s="660">
        <f t="shared" si="25"/>
      </c>
      <c r="BM49" s="663"/>
      <c r="BN49" s="660">
        <f t="shared" si="26"/>
      </c>
      <c r="BO49" s="660">
        <f t="shared" si="27"/>
      </c>
      <c r="BP49" s="660">
        <f t="shared" si="28"/>
      </c>
      <c r="BQ49" s="660">
        <f t="shared" si="29"/>
      </c>
      <c r="BR49" s="660">
        <f t="shared" si="30"/>
      </c>
      <c r="BS49" s="660">
        <f t="shared" si="31"/>
      </c>
      <c r="BT49" s="662"/>
      <c r="BU49" s="660">
        <f t="shared" si="32"/>
      </c>
      <c r="BV49" s="660">
        <f t="shared" si="33"/>
      </c>
      <c r="BW49" s="605">
        <f t="shared" si="34"/>
        <v>0</v>
      </c>
      <c r="BX49" s="660">
        <f t="shared" si="35"/>
      </c>
      <c r="BY49" s="664"/>
      <c r="BZ49" s="664"/>
      <c r="CA49" s="665"/>
      <c r="CB49" s="665"/>
      <c r="CC49" s="666"/>
      <c r="CD49" s="154"/>
      <c r="DG49" s="3"/>
    </row>
    <row r="50" spans="1:111" s="52" customFormat="1" ht="12.75">
      <c r="A50" s="681"/>
      <c r="B50" s="645">
        <f>IF('Table 3a'!B51="","",'Table 3a'!B51)</f>
        <v>10</v>
      </c>
      <c r="C50" s="644" t="str">
        <f>IF('Table 3a'!C51="","",'Table 3a'!C51)</f>
        <v>Castle Bromwich Infant School</v>
      </c>
      <c r="D50" s="645">
        <f>IF('Table 3a'!D51="","",'Table 3a'!D51)</f>
        <v>2060</v>
      </c>
      <c r="E50" s="646">
        <f>IF('Table 3a'!AC51="","",'Table 3a'!AC51)</f>
        <v>860705.0799999998</v>
      </c>
      <c r="F50" s="646">
        <f>IF('Table 3a'!AJ51="","",'Table 3a'!AJ51)</f>
        <v>109666</v>
      </c>
      <c r="G50" s="647"/>
      <c r="H50" s="646">
        <f>IF('Table 3a'!AO51="","",'Table 3a'!AO51)</f>
        <v>0</v>
      </c>
      <c r="I50" s="646">
        <f>IF('Table 3a'!AU51="","",'Table 3a'!AU51)</f>
        <v>36243</v>
      </c>
      <c r="J50" s="646">
        <f>IF('Table 3a'!AX51="","",'Table 3a'!AX51)</f>
        <v>3265</v>
      </c>
      <c r="K50" s="646">
        <f>IF('Table 3a'!BC51="","",'Table 3a'!BC51)</f>
        <v>28896</v>
      </c>
      <c r="L50" s="646">
        <f>IF('Table 3a'!BI51="","",'Table 3a'!BI51)</f>
        <v>25469</v>
      </c>
      <c r="M50" s="646">
        <f>IF('Table 3a'!BN51="","",'Table 3a'!BN51)</f>
        <v>53744</v>
      </c>
      <c r="N50" s="646">
        <f>IF('Table 3a'!BT51="","",'Table 3a'!BT51)</f>
        <v>86869</v>
      </c>
      <c r="O50" s="646">
        <f>IF('Table 3a'!BW51="","",'Table 3a'!BW51)</f>
        <v>0</v>
      </c>
      <c r="P50" s="646">
        <f>IF('Table 3a'!BX51="","",'Table 3a'!BX51)</f>
        <v>0</v>
      </c>
      <c r="Q50" s="646">
        <f t="shared" si="7"/>
        <v>1204857.0799999998</v>
      </c>
      <c r="R50" s="646">
        <f>IF('Table 3a'!AB51="","",'Table 3a'!AB51)</f>
        <v>396</v>
      </c>
      <c r="S50" s="646">
        <f t="shared" si="8"/>
        <v>3042.5683838383834</v>
      </c>
      <c r="T50" s="649" t="s">
        <v>642</v>
      </c>
      <c r="U50" s="649">
        <v>60852.53686722196</v>
      </c>
      <c r="V50" s="649">
        <v>5348</v>
      </c>
      <c r="W50" s="651"/>
      <c r="X50" s="649">
        <v>40445</v>
      </c>
      <c r="Y50" s="649">
        <v>0</v>
      </c>
      <c r="Z50" s="649">
        <v>0</v>
      </c>
      <c r="AA50" s="649">
        <v>0</v>
      </c>
      <c r="AB50" s="649">
        <v>0</v>
      </c>
      <c r="AC50" s="649">
        <f t="shared" si="9"/>
        <v>39508</v>
      </c>
      <c r="AD50" s="647"/>
      <c r="AE50" s="652"/>
      <c r="AF50" s="653"/>
      <c r="AG50" s="654"/>
      <c r="AH50" s="655"/>
      <c r="AI50" s="656"/>
      <c r="AJ50" s="657"/>
      <c r="AK50" s="658"/>
      <c r="AL50" s="658"/>
      <c r="AM50" s="658"/>
      <c r="AN50" s="657"/>
      <c r="AO50" s="658"/>
      <c r="AP50" s="658"/>
      <c r="AQ50" s="658"/>
      <c r="AR50" s="682"/>
      <c r="AS50" s="660">
        <f t="shared" si="10"/>
      </c>
      <c r="AT50" s="660">
        <f>IF(OR(OR(AND(C50="",D50&lt;&gt;""),AND(C50&lt;&gt;"",D50="")),AND(OR(SUM(Q50)&lt;&gt;0,SUM(R50)&lt;&gt;0,AND(U50&lt;&gt;"",U50&lt;&gt;0),AND(V50&lt;&gt;"",V50&lt;&gt;0),AND(W50&lt;&gt;"",W50&lt;&gt;0),AND(X50&lt;&gt;"",X50&lt;&gt;0),AND(Y50&lt;&gt;"",Y50&lt;&gt;0),AND(Z50&lt;&gt;"",Z50&lt;&gt;0),AND(AA50&lt;&gt;"",AA50&lt;&gt;0),AND(AB50&lt;&gt;"",AB50&lt;&gt;0),AND(AC50&lt;&gt;"",AC50&lt;&gt;0),AND(AD50&lt;&gt;"",AD50&lt;&gt;0),AE50&lt;&gt;"",AF50&lt;&gt;""),OR(C50="",D50=""))),"Error 2.11",IF(AND(C50&lt;&gt;"",ISNUMBER(D50)=FALSE),"Error 1.2",IF(AND(C50&lt;&gt;"",'Table 3a'!D51-INT('Table 3a'!D51)&lt;&gt;0),"Error 2.1",IF(AND(C50&lt;&gt;"",OR(D50&lt;2000,AND(D50&gt;3999,D50&lt;5200),AND(D50&gt;5299,D50&lt;5940),D50&gt;5949)),"Error 2.3",IF(AND(C50&lt;&gt;"",COUNTIF(startdfes:enddfes,D50)&gt;1),"Warning 1.2","")))))</f>
      </c>
      <c r="AU50" s="660">
        <f>IF(AND(OR(E50="",E50=0),C50="",D50=""),"",IF(AND(OR(C50&lt;&gt;"",D50&lt;&gt;""),E50=""),"Error 4.10.2",IF(AND(E50&lt;&gt;"",ISNUMBER(E50)=FALSE),"Error 1.2",IF(E50&lt;=0,"Error 1.4",IF('Table 3a'!AC51&lt;&gt;'Table 3a'!CA51,"Warning 2.7","")))))</f>
      </c>
      <c r="AV50" s="660">
        <f t="shared" si="11"/>
      </c>
      <c r="AW50" s="661"/>
      <c r="AX50" s="660">
        <f t="shared" si="12"/>
      </c>
      <c r="AY50" s="660">
        <f t="shared" si="13"/>
      </c>
      <c r="AZ50" s="660">
        <f t="shared" si="14"/>
      </c>
      <c r="BA50" s="660">
        <f t="shared" si="15"/>
      </c>
      <c r="BB50" s="660">
        <f t="shared" si="16"/>
      </c>
      <c r="BC50" s="660">
        <f t="shared" si="17"/>
      </c>
      <c r="BD50" s="660">
        <f t="shared" si="18"/>
      </c>
      <c r="BE50" s="660">
        <f t="shared" si="19"/>
      </c>
      <c r="BF50" s="660">
        <f t="shared" si="20"/>
      </c>
      <c r="BG50" s="660">
        <f>IF(AND(OR(Q50="",Q50=0),C50="",D50=""),"",IF(AND(OR(C50&lt;&gt;"",D50&lt;&gt;""),Q50=""),"Error 4.10.2",IF(AND(Q50&lt;&gt;"",ISNUMBER(Q50)=FALSE),"Error 1.2",IF(AND(OR(Q50&lt;10000,Q50&gt;10000000)),"Error 3.2.1",IF(ABS(('Table 3a'!BY51*2)-'Table 3a'!BZ51)&gt;50,"Error 3.7","")))))</f>
      </c>
      <c r="BH50" s="660">
        <f t="shared" si="21"/>
      </c>
      <c r="BI50" s="660">
        <f t="shared" si="22"/>
      </c>
      <c r="BJ50" s="660">
        <f t="shared" si="23"/>
      </c>
      <c r="BK50" s="660">
        <f t="shared" si="24"/>
      </c>
      <c r="BL50" s="660">
        <f t="shared" si="25"/>
      </c>
      <c r="BM50" s="663"/>
      <c r="BN50" s="660">
        <f t="shared" si="26"/>
      </c>
      <c r="BO50" s="660">
        <f t="shared" si="27"/>
      </c>
      <c r="BP50" s="660">
        <f t="shared" si="28"/>
      </c>
      <c r="BQ50" s="660">
        <f t="shared" si="29"/>
      </c>
      <c r="BR50" s="660">
        <f t="shared" si="30"/>
      </c>
      <c r="BS50" s="660">
        <f t="shared" si="31"/>
      </c>
      <c r="BT50" s="662"/>
      <c r="BU50" s="660">
        <f t="shared" si="32"/>
      </c>
      <c r="BV50" s="660">
        <f t="shared" si="33"/>
      </c>
      <c r="BW50" s="605">
        <f t="shared" si="34"/>
        <v>0</v>
      </c>
      <c r="BX50" s="660">
        <f t="shared" si="35"/>
      </c>
      <c r="BY50" s="664"/>
      <c r="BZ50" s="664"/>
      <c r="CA50" s="665"/>
      <c r="CB50" s="665"/>
      <c r="CC50" s="666"/>
      <c r="CD50" s="154"/>
      <c r="DG50" s="3"/>
    </row>
    <row r="51" spans="1:111" s="52" customFormat="1" ht="12.75">
      <c r="A51" s="681"/>
      <c r="B51" s="645">
        <f>IF('Table 3a'!B52="","",'Table 3a'!B52)</f>
        <v>3</v>
      </c>
      <c r="C51" s="644" t="str">
        <f>IF('Table 3a'!C52="","",'Table 3a'!C52)</f>
        <v>Bennetts Well Junior and Infant School</v>
      </c>
      <c r="D51" s="645">
        <f>IF('Table 3a'!D52="","",'Table 3a'!D52)</f>
        <v>2062</v>
      </c>
      <c r="E51" s="646">
        <f>IF('Table 3a'!AC52="","",'Table 3a'!AC52)</f>
        <v>159112.0208333333</v>
      </c>
      <c r="F51" s="646">
        <f>IF('Table 3a'!AJ52="","",'Table 3a'!AJ52)</f>
        <v>20390</v>
      </c>
      <c r="G51" s="647"/>
      <c r="H51" s="646">
        <f>IF('Table 3a'!AO52="","",'Table 3a'!AO52)</f>
        <v>0</v>
      </c>
      <c r="I51" s="646">
        <f>IF('Table 3a'!AU52="","",'Table 3a'!AU52)</f>
        <v>25556</v>
      </c>
      <c r="J51" s="646">
        <f>IF('Table 3a'!AX52="","",'Table 3a'!AX52)</f>
        <v>1360.4166666666667</v>
      </c>
      <c r="K51" s="646">
        <f>IF('Table 3a'!BC52="","",'Table 3a'!BC52)</f>
        <v>12894.083333333334</v>
      </c>
      <c r="L51" s="646">
        <f>IF('Table 3a'!BI52="","",'Table 3a'!BI52)</f>
        <v>13018.333333333334</v>
      </c>
      <c r="M51" s="646">
        <f>IF('Table 3a'!BN52="","",'Table 3a'!BN52)</f>
        <v>21726</v>
      </c>
      <c r="N51" s="646">
        <f>IF('Table 3a'!BT52="","",'Table 3a'!BT52)</f>
        <v>47949.583333333336</v>
      </c>
      <c r="O51" s="646">
        <f>IF('Table 3a'!BW52="","",'Table 3a'!BW52)</f>
        <v>0</v>
      </c>
      <c r="P51" s="646">
        <f>IF('Table 3a'!BX52="","",'Table 3a'!BX52)</f>
        <v>0</v>
      </c>
      <c r="Q51" s="646">
        <f t="shared" si="7"/>
        <v>302006.4375</v>
      </c>
      <c r="R51" s="646">
        <f>IF('Table 3a'!AB52="","",'Table 3a'!AB52)</f>
        <v>73.33333333333333</v>
      </c>
      <c r="S51" s="646">
        <f t="shared" si="8"/>
        <v>4118.269602272728</v>
      </c>
      <c r="T51" s="649" t="s">
        <v>642</v>
      </c>
      <c r="U51" s="649">
        <v>14080</v>
      </c>
      <c r="V51" s="649">
        <v>4837</v>
      </c>
      <c r="W51" s="651"/>
      <c r="X51" s="649">
        <v>41694</v>
      </c>
      <c r="Y51" s="649">
        <v>0</v>
      </c>
      <c r="Z51" s="649">
        <v>0</v>
      </c>
      <c r="AA51" s="649">
        <v>0</v>
      </c>
      <c r="AB51" s="649">
        <v>0</v>
      </c>
      <c r="AC51" s="649">
        <f t="shared" si="9"/>
        <v>26916.416666666668</v>
      </c>
      <c r="AD51" s="647"/>
      <c r="AE51" s="652" t="s">
        <v>643</v>
      </c>
      <c r="AF51" s="653">
        <v>40421</v>
      </c>
      <c r="AG51" s="654"/>
      <c r="AH51" s="655"/>
      <c r="AI51" s="656"/>
      <c r="AJ51" s="657"/>
      <c r="AK51" s="658"/>
      <c r="AL51" s="658"/>
      <c r="AM51" s="658"/>
      <c r="AN51" s="657"/>
      <c r="AO51" s="658"/>
      <c r="AP51" s="658"/>
      <c r="AQ51" s="658"/>
      <c r="AR51" s="682"/>
      <c r="AS51" s="660">
        <f t="shared" si="10"/>
      </c>
      <c r="AT51" s="660">
        <f>IF(OR(OR(AND(C51="",D51&lt;&gt;""),AND(C51&lt;&gt;"",D51="")),AND(OR(SUM(Q51)&lt;&gt;0,SUM(R51)&lt;&gt;0,AND(U51&lt;&gt;"",U51&lt;&gt;0),AND(V51&lt;&gt;"",V51&lt;&gt;0),AND(W51&lt;&gt;"",W51&lt;&gt;0),AND(X51&lt;&gt;"",X51&lt;&gt;0),AND(Y51&lt;&gt;"",Y51&lt;&gt;0),AND(Z51&lt;&gt;"",Z51&lt;&gt;0),AND(AA51&lt;&gt;"",AA51&lt;&gt;0),AND(AB51&lt;&gt;"",AB51&lt;&gt;0),AND(AC51&lt;&gt;"",AC51&lt;&gt;0),AND(AD51&lt;&gt;"",AD51&lt;&gt;0),AE51&lt;&gt;"",AF51&lt;&gt;""),OR(C51="",D51=""))),"Error 2.11",IF(AND(C51&lt;&gt;"",ISNUMBER(D51)=FALSE),"Error 1.2",IF(AND(C51&lt;&gt;"",'Table 3a'!D52-INT('Table 3a'!D52)&lt;&gt;0),"Error 2.1",IF(AND(C51&lt;&gt;"",OR(D51&lt;2000,AND(D51&gt;3999,D51&lt;5200),AND(D51&gt;5299,D51&lt;5940),D51&gt;5949)),"Error 2.3",IF(AND(C51&lt;&gt;"",COUNTIF(startdfes:enddfes,D51)&gt;1),"Warning 1.2","")))))</f>
      </c>
      <c r="AU51" s="660">
        <f>IF(AND(OR(E51="",E51=0),C51="",D51=""),"",IF(AND(OR(C51&lt;&gt;"",D51&lt;&gt;""),E51=""),"Error 4.10.2",IF(AND(E51&lt;&gt;"",ISNUMBER(E51)=FALSE),"Error 1.2",IF(E51&lt;=0,"Error 1.4",IF('Table 3a'!AC52&lt;&gt;'Table 3a'!CA52,"Warning 2.7","")))))</f>
      </c>
      <c r="AV51" s="660">
        <f t="shared" si="11"/>
      </c>
      <c r="AW51" s="661"/>
      <c r="AX51" s="660">
        <f t="shared" si="12"/>
      </c>
      <c r="AY51" s="660">
        <f t="shared" si="13"/>
      </c>
      <c r="AZ51" s="660">
        <f t="shared" si="14"/>
      </c>
      <c r="BA51" s="660">
        <f t="shared" si="15"/>
      </c>
      <c r="BB51" s="660">
        <f t="shared" si="16"/>
      </c>
      <c r="BC51" s="660">
        <f t="shared" si="17"/>
      </c>
      <c r="BD51" s="660">
        <f t="shared" si="18"/>
      </c>
      <c r="BE51" s="660">
        <f t="shared" si="19"/>
      </c>
      <c r="BF51" s="660">
        <f t="shared" si="20"/>
      </c>
      <c r="BG51" s="660">
        <f>IF(AND(OR(Q51="",Q51=0),C51="",D51=""),"",IF(AND(OR(C51&lt;&gt;"",D51&lt;&gt;""),Q51=""),"Error 4.10.2",IF(AND(Q51&lt;&gt;"",ISNUMBER(Q51)=FALSE),"Error 1.2",IF(AND(OR(Q51&lt;10000,Q51&gt;10000000)),"Error 3.2.1",IF(ABS(('Table 3a'!BY52*2)-'Table 3a'!BZ52)&gt;50,"Error 3.7","")))))</f>
      </c>
      <c r="BH51" s="660">
        <f t="shared" si="21"/>
      </c>
      <c r="BI51" s="660">
        <f t="shared" si="22"/>
      </c>
      <c r="BJ51" s="660">
        <f t="shared" si="23"/>
      </c>
      <c r="BK51" s="660">
        <f t="shared" si="24"/>
      </c>
      <c r="BL51" s="660">
        <f t="shared" si="25"/>
      </c>
      <c r="BM51" s="663"/>
      <c r="BN51" s="660">
        <f t="shared" si="26"/>
      </c>
      <c r="BO51" s="660">
        <f t="shared" si="27"/>
      </c>
      <c r="BP51" s="660">
        <f t="shared" si="28"/>
      </c>
      <c r="BQ51" s="660">
        <f t="shared" si="29"/>
      </c>
      <c r="BR51" s="660">
        <f t="shared" si="30"/>
      </c>
      <c r="BS51" s="660">
        <f t="shared" si="31"/>
      </c>
      <c r="BT51" s="662"/>
      <c r="BU51" s="660">
        <f t="shared" si="32"/>
      </c>
      <c r="BV51" s="660">
        <f t="shared" si="33"/>
      </c>
      <c r="BW51" s="605">
        <f t="shared" si="34"/>
        <v>0</v>
      </c>
      <c r="BX51" s="660">
        <f t="shared" si="35"/>
      </c>
      <c r="BY51" s="664"/>
      <c r="BZ51" s="664"/>
      <c r="CA51" s="665"/>
      <c r="CB51" s="665"/>
      <c r="CC51" s="666"/>
      <c r="CD51" s="154"/>
      <c r="DG51" s="3"/>
    </row>
    <row r="52" spans="1:111" s="52" customFormat="1" ht="12.75">
      <c r="A52" s="681"/>
      <c r="B52" s="645">
        <f>IF('Table 3a'!B53="","",'Table 3a'!B53)</f>
        <v>1</v>
      </c>
      <c r="C52" s="644" t="str">
        <f>IF('Table 3a'!C53="","",'Table 3a'!C53)</f>
        <v>Alcott Hall Junior and Infant School</v>
      </c>
      <c r="D52" s="645">
        <f>IF('Table 3a'!D53="","",'Table 3a'!D53)</f>
        <v>2064</v>
      </c>
      <c r="E52" s="646">
        <f>IF('Table 3a'!AC53="","",'Table 3a'!AC53)</f>
        <v>149246.53333333333</v>
      </c>
      <c r="F52" s="646">
        <f>IF('Table 3a'!AJ53="","",'Table 3a'!AJ53)</f>
        <v>19781</v>
      </c>
      <c r="G52" s="647"/>
      <c r="H52" s="646">
        <f>IF('Table 3a'!AO53="","",'Table 3a'!AO53)</f>
        <v>0</v>
      </c>
      <c r="I52" s="646">
        <f>IF('Table 3a'!AU53="","",'Table 3a'!AU53)</f>
        <v>18437</v>
      </c>
      <c r="J52" s="646">
        <f>IF('Table 3a'!AX53="","",'Table 3a'!AX53)</f>
        <v>1551.4166666666667</v>
      </c>
      <c r="K52" s="646">
        <f>IF('Table 3a'!BC53="","",'Table 3a'!BC53)</f>
        <v>10340.333333333334</v>
      </c>
      <c r="L52" s="646">
        <f>IF('Table 3a'!BI53="","",'Table 3a'!BI53)</f>
        <v>12918.999999999998</v>
      </c>
      <c r="M52" s="646">
        <f>IF('Table 3a'!BN53="","",'Table 3a'!BN53)</f>
        <v>24461</v>
      </c>
      <c r="N52" s="646">
        <f>IF('Table 3a'!BT53="","",'Table 3a'!BT53)</f>
        <v>48728.583333333336</v>
      </c>
      <c r="O52" s="646">
        <f>IF('Table 3a'!BW53="","",'Table 3a'!BW53)</f>
        <v>0</v>
      </c>
      <c r="P52" s="646">
        <f>IF('Table 3a'!BX53="","",'Table 3a'!BX53)</f>
        <v>0</v>
      </c>
      <c r="Q52" s="646">
        <f t="shared" si="7"/>
        <v>285464.86666666664</v>
      </c>
      <c r="R52" s="646">
        <f>IF('Table 3a'!AB53="","",'Table 3a'!AB53)</f>
        <v>69.58333333333334</v>
      </c>
      <c r="S52" s="646">
        <f t="shared" si="8"/>
        <v>4102.489101796406</v>
      </c>
      <c r="T52" s="649" t="s">
        <v>642</v>
      </c>
      <c r="U52" s="649">
        <v>13350</v>
      </c>
      <c r="V52" s="649">
        <v>3010</v>
      </c>
      <c r="W52" s="651"/>
      <c r="X52" s="649">
        <v>34124</v>
      </c>
      <c r="Y52" s="649">
        <v>0</v>
      </c>
      <c r="Z52" s="649">
        <v>0</v>
      </c>
      <c r="AA52" s="649">
        <v>0</v>
      </c>
      <c r="AB52" s="649">
        <v>0</v>
      </c>
      <c r="AC52" s="649">
        <f t="shared" si="9"/>
        <v>19988.416666666668</v>
      </c>
      <c r="AD52" s="647"/>
      <c r="AE52" s="683" t="s">
        <v>643</v>
      </c>
      <c r="AF52" s="653">
        <v>40421</v>
      </c>
      <c r="AG52" s="654"/>
      <c r="AH52" s="655"/>
      <c r="AI52" s="656"/>
      <c r="AJ52" s="657"/>
      <c r="AK52" s="658"/>
      <c r="AL52" s="658"/>
      <c r="AM52" s="658"/>
      <c r="AN52" s="657"/>
      <c r="AO52" s="658"/>
      <c r="AP52" s="658"/>
      <c r="AQ52" s="658"/>
      <c r="AR52" s="682"/>
      <c r="AS52" s="660">
        <f t="shared" si="10"/>
      </c>
      <c r="AT52" s="660">
        <f>IF(OR(OR(AND(C52="",D52&lt;&gt;""),AND(C52&lt;&gt;"",D52="")),AND(OR(SUM(Q52)&lt;&gt;0,SUM(R52)&lt;&gt;0,AND(U52&lt;&gt;"",U52&lt;&gt;0),AND(V52&lt;&gt;"",V52&lt;&gt;0),AND(W52&lt;&gt;"",W52&lt;&gt;0),AND(X52&lt;&gt;"",X52&lt;&gt;0),AND(Y52&lt;&gt;"",Y52&lt;&gt;0),AND(Z52&lt;&gt;"",Z52&lt;&gt;0),AND(AA52&lt;&gt;"",AA52&lt;&gt;0),AND(AB52&lt;&gt;"",AB52&lt;&gt;0),AND(AC52&lt;&gt;"",AC52&lt;&gt;0),AND(AD52&lt;&gt;"",AD52&lt;&gt;0),AE52&lt;&gt;"",AF52&lt;&gt;""),OR(C52="",D52=""))),"Error 2.11",IF(AND(C52&lt;&gt;"",ISNUMBER(D52)=FALSE),"Error 1.2",IF(AND(C52&lt;&gt;"",'Table 3a'!D53-INT('Table 3a'!D53)&lt;&gt;0),"Error 2.1",IF(AND(C52&lt;&gt;"",OR(D52&lt;2000,AND(D52&gt;3999,D52&lt;5200),AND(D52&gt;5299,D52&lt;5940),D52&gt;5949)),"Error 2.3",IF(AND(C52&lt;&gt;"",COUNTIF(startdfes:enddfes,D52)&gt;1),"Warning 1.2","")))))</f>
      </c>
      <c r="AU52" s="660">
        <f>IF(AND(OR(E52="",E52=0),C52="",D52=""),"",IF(AND(OR(C52&lt;&gt;"",D52&lt;&gt;""),E52=""),"Error 4.10.2",IF(AND(E52&lt;&gt;"",ISNUMBER(E52)=FALSE),"Error 1.2",IF(E52&lt;=0,"Error 1.4",IF('Table 3a'!AC53&lt;&gt;'Table 3a'!CA53,"Warning 2.7","")))))</f>
      </c>
      <c r="AV52" s="660">
        <f t="shared" si="11"/>
      </c>
      <c r="AW52" s="661"/>
      <c r="AX52" s="660">
        <f t="shared" si="12"/>
      </c>
      <c r="AY52" s="660">
        <f t="shared" si="13"/>
      </c>
      <c r="AZ52" s="660">
        <f t="shared" si="14"/>
      </c>
      <c r="BA52" s="660">
        <f t="shared" si="15"/>
      </c>
      <c r="BB52" s="660">
        <f t="shared" si="16"/>
      </c>
      <c r="BC52" s="660">
        <f t="shared" si="17"/>
      </c>
      <c r="BD52" s="660">
        <f t="shared" si="18"/>
      </c>
      <c r="BE52" s="660">
        <f t="shared" si="19"/>
      </c>
      <c r="BF52" s="660">
        <f t="shared" si="20"/>
      </c>
      <c r="BG52" s="660">
        <f>IF(AND(OR(Q52="",Q52=0),C52="",D52=""),"",IF(AND(OR(C52&lt;&gt;"",D52&lt;&gt;""),Q52=""),"Error 4.10.2",IF(AND(Q52&lt;&gt;"",ISNUMBER(Q52)=FALSE),"Error 1.2",IF(AND(OR(Q52&lt;10000,Q52&gt;10000000)),"Error 3.2.1",IF(ABS(('Table 3a'!BY53*2)-'Table 3a'!BZ53)&gt;50,"Error 3.7","")))))</f>
      </c>
      <c r="BH52" s="660">
        <f t="shared" si="21"/>
      </c>
      <c r="BI52" s="660">
        <f t="shared" si="22"/>
      </c>
      <c r="BJ52" s="660">
        <f t="shared" si="23"/>
      </c>
      <c r="BK52" s="660">
        <f t="shared" si="24"/>
      </c>
      <c r="BL52" s="660">
        <f t="shared" si="25"/>
      </c>
      <c r="BM52" s="663"/>
      <c r="BN52" s="660">
        <f t="shared" si="26"/>
      </c>
      <c r="BO52" s="660">
        <f t="shared" si="27"/>
      </c>
      <c r="BP52" s="660">
        <f t="shared" si="28"/>
      </c>
      <c r="BQ52" s="660">
        <f t="shared" si="29"/>
      </c>
      <c r="BR52" s="660">
        <f t="shared" si="30"/>
      </c>
      <c r="BS52" s="660">
        <f t="shared" si="31"/>
      </c>
      <c r="BT52" s="662"/>
      <c r="BU52" s="660">
        <f t="shared" si="32"/>
      </c>
      <c r="BV52" s="660">
        <f t="shared" si="33"/>
      </c>
      <c r="BW52" s="605">
        <f t="shared" si="34"/>
        <v>0</v>
      </c>
      <c r="BX52" s="660">
        <f t="shared" si="35"/>
      </c>
      <c r="BY52" s="664"/>
      <c r="BZ52" s="664"/>
      <c r="CA52" s="665"/>
      <c r="CB52" s="665"/>
      <c r="CC52" s="666"/>
      <c r="CD52" s="154"/>
      <c r="DG52" s="3"/>
    </row>
    <row r="53" spans="1:111" s="52" customFormat="1" ht="12.75">
      <c r="A53" s="681"/>
      <c r="B53" s="645">
        <f>IF('Table 3a'!B54="","",'Table 3a'!B54)</f>
        <v>14</v>
      </c>
      <c r="C53" s="644" t="str">
        <f>IF('Table 3a'!C54="","",'Table 3a'!C54)</f>
        <v>Coleshill Heath School</v>
      </c>
      <c r="D53" s="645">
        <f>IF('Table 3a'!D54="","",'Table 3a'!D54)</f>
        <v>2065</v>
      </c>
      <c r="E53" s="646">
        <f>IF('Table 3a'!AC54="","",'Table 3a'!AC54)</f>
        <v>997607.8466666667</v>
      </c>
      <c r="F53" s="646">
        <f>IF('Table 3a'!AJ54="","",'Table 3a'!AJ54)</f>
        <v>77800.95</v>
      </c>
      <c r="G53" s="647"/>
      <c r="H53" s="646">
        <f>IF('Table 3a'!AO54="","",'Table 3a'!AO54)</f>
        <v>0</v>
      </c>
      <c r="I53" s="646">
        <f>IF('Table 3a'!AU54="","",'Table 3a'!AU54)</f>
        <v>110420</v>
      </c>
      <c r="J53" s="646">
        <f>IF('Table 3a'!AX54="","",'Table 3a'!AX54)</f>
        <v>17910</v>
      </c>
      <c r="K53" s="646">
        <f>IF('Table 3a'!BC54="","",'Table 3a'!BC54)</f>
        <v>59784.666666666664</v>
      </c>
      <c r="L53" s="646">
        <f>IF('Table 3a'!BI54="","",'Table 3a'!BI54)</f>
        <v>68280</v>
      </c>
      <c r="M53" s="646">
        <f>IF('Table 3a'!BN54="","",'Table 3a'!BN54)</f>
        <v>85193</v>
      </c>
      <c r="N53" s="646">
        <f>IF('Table 3a'!BT54="","",'Table 3a'!BT54)</f>
        <v>81170</v>
      </c>
      <c r="O53" s="646">
        <f>IF('Table 3a'!BW54="","",'Table 3a'!BW54)</f>
        <v>0</v>
      </c>
      <c r="P53" s="646">
        <f>IF('Table 3a'!BX54="","",'Table 3a'!BX54)</f>
        <v>0</v>
      </c>
      <c r="Q53" s="646">
        <f t="shared" si="7"/>
        <v>1498166.4633333334</v>
      </c>
      <c r="R53" s="646">
        <f>IF('Table 3a'!AB54="","",'Table 3a'!AB54)</f>
        <v>462.4166666666667</v>
      </c>
      <c r="S53" s="646">
        <f t="shared" si="8"/>
        <v>3239.8625986664265</v>
      </c>
      <c r="T53" s="649" t="s">
        <v>642</v>
      </c>
      <c r="U53" s="649">
        <v>76353.55204643666</v>
      </c>
      <c r="V53" s="649">
        <v>19780</v>
      </c>
      <c r="W53" s="651"/>
      <c r="X53" s="649">
        <v>202379</v>
      </c>
      <c r="Y53" s="649">
        <v>0</v>
      </c>
      <c r="Z53" s="649">
        <v>0</v>
      </c>
      <c r="AA53" s="649">
        <v>0</v>
      </c>
      <c r="AB53" s="649">
        <v>0</v>
      </c>
      <c r="AC53" s="649">
        <f t="shared" si="9"/>
        <v>128330</v>
      </c>
      <c r="AD53" s="647"/>
      <c r="AE53" s="652"/>
      <c r="AF53" s="653"/>
      <c r="AG53" s="654"/>
      <c r="AH53" s="655"/>
      <c r="AI53" s="656"/>
      <c r="AJ53" s="657"/>
      <c r="AK53" s="658"/>
      <c r="AL53" s="658"/>
      <c r="AM53" s="658"/>
      <c r="AN53" s="657"/>
      <c r="AO53" s="658"/>
      <c r="AP53" s="658"/>
      <c r="AQ53" s="658"/>
      <c r="AR53" s="682"/>
      <c r="AS53" s="660">
        <f t="shared" si="10"/>
      </c>
      <c r="AT53" s="660">
        <f>IF(OR(OR(AND(C53="",D53&lt;&gt;""),AND(C53&lt;&gt;"",D53="")),AND(OR(SUM(Q53)&lt;&gt;0,SUM(R53)&lt;&gt;0,AND(U53&lt;&gt;"",U53&lt;&gt;0),AND(V53&lt;&gt;"",V53&lt;&gt;0),AND(W53&lt;&gt;"",W53&lt;&gt;0),AND(X53&lt;&gt;"",X53&lt;&gt;0),AND(Y53&lt;&gt;"",Y53&lt;&gt;0),AND(Z53&lt;&gt;"",Z53&lt;&gt;0),AND(AA53&lt;&gt;"",AA53&lt;&gt;0),AND(AB53&lt;&gt;"",AB53&lt;&gt;0),AND(AC53&lt;&gt;"",AC53&lt;&gt;0),AND(AD53&lt;&gt;"",AD53&lt;&gt;0),AE53&lt;&gt;"",AF53&lt;&gt;""),OR(C53="",D53=""))),"Error 2.11",IF(AND(C53&lt;&gt;"",ISNUMBER(D53)=FALSE),"Error 1.2",IF(AND(C53&lt;&gt;"",'Table 3a'!D54-INT('Table 3a'!D54)&lt;&gt;0),"Error 2.1",IF(AND(C53&lt;&gt;"",OR(D53&lt;2000,AND(D53&gt;3999,D53&lt;5200),AND(D53&gt;5299,D53&lt;5940),D53&gt;5949)),"Error 2.3",IF(AND(C53&lt;&gt;"",COUNTIF(startdfes:enddfes,D53)&gt;1),"Warning 1.2","")))))</f>
      </c>
      <c r="AU53" s="660">
        <f>IF(AND(OR(E53="",E53=0),C53="",D53=""),"",IF(AND(OR(C53&lt;&gt;"",D53&lt;&gt;""),E53=""),"Error 4.10.2",IF(AND(E53&lt;&gt;"",ISNUMBER(E53)=FALSE),"Error 1.2",IF(E53&lt;=0,"Error 1.4",IF('Table 3a'!AC54&lt;&gt;'Table 3a'!CA54,"Warning 2.7","")))))</f>
      </c>
      <c r="AV53" s="660">
        <f t="shared" si="11"/>
      </c>
      <c r="AW53" s="661"/>
      <c r="AX53" s="660">
        <f t="shared" si="12"/>
      </c>
      <c r="AY53" s="660">
        <f t="shared" si="13"/>
      </c>
      <c r="AZ53" s="660">
        <f t="shared" si="14"/>
      </c>
      <c r="BA53" s="660">
        <f t="shared" si="15"/>
      </c>
      <c r="BB53" s="660">
        <f t="shared" si="16"/>
      </c>
      <c r="BC53" s="660">
        <f t="shared" si="17"/>
      </c>
      <c r="BD53" s="660">
        <f t="shared" si="18"/>
      </c>
      <c r="BE53" s="660">
        <f t="shared" si="19"/>
      </c>
      <c r="BF53" s="660">
        <f t="shared" si="20"/>
      </c>
      <c r="BG53" s="660">
        <f>IF(AND(OR(Q53="",Q53=0),C53="",D53=""),"",IF(AND(OR(C53&lt;&gt;"",D53&lt;&gt;""),Q53=""),"Error 4.10.2",IF(AND(Q53&lt;&gt;"",ISNUMBER(Q53)=FALSE),"Error 1.2",IF(AND(OR(Q53&lt;10000,Q53&gt;10000000)),"Error 3.2.1",IF(ABS(('Table 3a'!BY54*2)-'Table 3a'!BZ54)&gt;50,"Error 3.7","")))))</f>
      </c>
      <c r="BH53" s="660">
        <f t="shared" si="21"/>
      </c>
      <c r="BI53" s="660">
        <f t="shared" si="22"/>
      </c>
      <c r="BJ53" s="660">
        <f t="shared" si="23"/>
      </c>
      <c r="BK53" s="660">
        <f t="shared" si="24"/>
      </c>
      <c r="BL53" s="660">
        <f t="shared" si="25"/>
      </c>
      <c r="BM53" s="663"/>
      <c r="BN53" s="660">
        <f t="shared" si="26"/>
      </c>
      <c r="BO53" s="660">
        <f t="shared" si="27"/>
      </c>
      <c r="BP53" s="660">
        <f t="shared" si="28"/>
      </c>
      <c r="BQ53" s="660">
        <f t="shared" si="29"/>
      </c>
      <c r="BR53" s="660">
        <f t="shared" si="30"/>
      </c>
      <c r="BS53" s="660">
        <f t="shared" si="31"/>
      </c>
      <c r="BT53" s="662"/>
      <c r="BU53" s="660">
        <f t="shared" si="32"/>
      </c>
      <c r="BV53" s="660">
        <f t="shared" si="33"/>
      </c>
      <c r="BW53" s="605">
        <f t="shared" si="34"/>
        <v>0</v>
      </c>
      <c r="BX53" s="660">
        <f t="shared" si="35"/>
      </c>
      <c r="BY53" s="664"/>
      <c r="BZ53" s="664"/>
      <c r="CA53" s="665"/>
      <c r="CB53" s="665"/>
      <c r="CC53" s="666"/>
      <c r="CD53" s="154"/>
      <c r="DG53" s="3"/>
    </row>
    <row r="54" spans="1:111" s="52" customFormat="1" ht="12.75">
      <c r="A54" s="681"/>
      <c r="B54" s="645">
        <f>IF('Table 3a'!B55="","",'Table 3a'!B55)</f>
        <v>64</v>
      </c>
      <c r="C54" s="644" t="str">
        <f>IF('Table 3a'!C55="","",'Table 3a'!C55)</f>
        <v>Windy Arbor Junior and Infant School</v>
      </c>
      <c r="D54" s="645">
        <f>IF('Table 3a'!D55="","",'Table 3a'!D55)</f>
        <v>2066</v>
      </c>
      <c r="E54" s="646">
        <f>IF('Table 3a'!AC55="","",'Table 3a'!AC55)</f>
        <v>517956.29000000004</v>
      </c>
      <c r="F54" s="646">
        <f>IF('Table 3a'!AJ55="","",'Table 3a'!AJ55)</f>
        <v>94954</v>
      </c>
      <c r="G54" s="647"/>
      <c r="H54" s="646">
        <f>IF('Table 3a'!AO55="","",'Table 3a'!AO55)</f>
        <v>0</v>
      </c>
      <c r="I54" s="646">
        <f>IF('Table 3a'!AU55="","",'Table 3a'!AU55)</f>
        <v>48470</v>
      </c>
      <c r="J54" s="646">
        <f>IF('Table 3a'!AX55="","",'Table 3a'!AX55)</f>
        <v>3265</v>
      </c>
      <c r="K54" s="646">
        <f>IF('Table 3a'!BC55="","",'Table 3a'!BC55)</f>
        <v>33056</v>
      </c>
      <c r="L54" s="646">
        <f>IF('Table 3a'!BI55="","",'Table 3a'!BI55)</f>
        <v>33212</v>
      </c>
      <c r="M54" s="646">
        <f>IF('Table 3a'!BN55="","",'Table 3a'!BN55)</f>
        <v>67794</v>
      </c>
      <c r="N54" s="646">
        <f>IF('Table 3a'!BT55="","",'Table 3a'!BT55)</f>
        <v>93420</v>
      </c>
      <c r="O54" s="646">
        <f>IF('Table 3a'!BW55="","",'Table 3a'!BW55)</f>
        <v>0</v>
      </c>
      <c r="P54" s="646">
        <f>IF('Table 3a'!BX55="","",'Table 3a'!BX55)</f>
        <v>0</v>
      </c>
      <c r="Q54" s="646">
        <f t="shared" si="7"/>
        <v>892127.29</v>
      </c>
      <c r="R54" s="646">
        <f>IF('Table 3a'!AB55="","",'Table 3a'!AB55)</f>
        <v>244</v>
      </c>
      <c r="S54" s="646">
        <f t="shared" si="8"/>
        <v>3656.2593852459017</v>
      </c>
      <c r="T54" s="649" t="s">
        <v>642</v>
      </c>
      <c r="U54" s="649">
        <v>43999.76113829469</v>
      </c>
      <c r="V54" s="649">
        <v>9607</v>
      </c>
      <c r="W54" s="651"/>
      <c r="X54" s="649">
        <v>110229</v>
      </c>
      <c r="Y54" s="649">
        <v>0</v>
      </c>
      <c r="Z54" s="649">
        <v>0</v>
      </c>
      <c r="AA54" s="649">
        <v>0</v>
      </c>
      <c r="AB54" s="649">
        <v>0</v>
      </c>
      <c r="AC54" s="649">
        <f t="shared" si="9"/>
        <v>51735</v>
      </c>
      <c r="AD54" s="647"/>
      <c r="AE54" s="652"/>
      <c r="AF54" s="653"/>
      <c r="AG54" s="654"/>
      <c r="AH54" s="655"/>
      <c r="AI54" s="656"/>
      <c r="AJ54" s="657"/>
      <c r="AK54" s="658"/>
      <c r="AL54" s="658"/>
      <c r="AM54" s="658"/>
      <c r="AN54" s="657"/>
      <c r="AO54" s="658"/>
      <c r="AP54" s="658"/>
      <c r="AQ54" s="658"/>
      <c r="AR54" s="682"/>
      <c r="AS54" s="660">
        <f t="shared" si="10"/>
      </c>
      <c r="AT54" s="660">
        <f>IF(OR(OR(AND(C54="",D54&lt;&gt;""),AND(C54&lt;&gt;"",D54="")),AND(OR(SUM(Q54)&lt;&gt;0,SUM(R54)&lt;&gt;0,AND(U54&lt;&gt;"",U54&lt;&gt;0),AND(V54&lt;&gt;"",V54&lt;&gt;0),AND(W54&lt;&gt;"",W54&lt;&gt;0),AND(X54&lt;&gt;"",X54&lt;&gt;0),AND(Y54&lt;&gt;"",Y54&lt;&gt;0),AND(Z54&lt;&gt;"",Z54&lt;&gt;0),AND(AA54&lt;&gt;"",AA54&lt;&gt;0),AND(AB54&lt;&gt;"",AB54&lt;&gt;0),AND(AC54&lt;&gt;"",AC54&lt;&gt;0),AND(AD54&lt;&gt;"",AD54&lt;&gt;0),AE54&lt;&gt;"",AF54&lt;&gt;""),OR(C54="",D54=""))),"Error 2.11",IF(AND(C54&lt;&gt;"",ISNUMBER(D54)=FALSE),"Error 1.2",IF(AND(C54&lt;&gt;"",'Table 3a'!D55-INT('Table 3a'!D55)&lt;&gt;0),"Error 2.1",IF(AND(C54&lt;&gt;"",OR(D54&lt;2000,AND(D54&gt;3999,D54&lt;5200),AND(D54&gt;5299,D54&lt;5940),D54&gt;5949)),"Error 2.3",IF(AND(C54&lt;&gt;"",COUNTIF(startdfes:enddfes,D54)&gt;1),"Warning 1.2","")))))</f>
      </c>
      <c r="AU54" s="660">
        <f>IF(AND(OR(E54="",E54=0),C54="",D54=""),"",IF(AND(OR(C54&lt;&gt;"",D54&lt;&gt;""),E54=""),"Error 4.10.2",IF(AND(E54&lt;&gt;"",ISNUMBER(E54)=FALSE),"Error 1.2",IF(E54&lt;=0,"Error 1.4",IF('Table 3a'!AC55&lt;&gt;'Table 3a'!CA55,"Warning 2.7","")))))</f>
      </c>
      <c r="AV54" s="660">
        <f t="shared" si="11"/>
      </c>
      <c r="AW54" s="661"/>
      <c r="AX54" s="660">
        <f t="shared" si="12"/>
      </c>
      <c r="AY54" s="660">
        <f t="shared" si="13"/>
      </c>
      <c r="AZ54" s="660">
        <f t="shared" si="14"/>
      </c>
      <c r="BA54" s="660">
        <f t="shared" si="15"/>
      </c>
      <c r="BB54" s="660">
        <f t="shared" si="16"/>
      </c>
      <c r="BC54" s="660">
        <f t="shared" si="17"/>
      </c>
      <c r="BD54" s="660">
        <f t="shared" si="18"/>
      </c>
      <c r="BE54" s="660">
        <f t="shared" si="19"/>
      </c>
      <c r="BF54" s="660">
        <f t="shared" si="20"/>
      </c>
      <c r="BG54" s="660">
        <f>IF(AND(OR(Q54="",Q54=0),C54="",D54=""),"",IF(AND(OR(C54&lt;&gt;"",D54&lt;&gt;""),Q54=""),"Error 4.10.2",IF(AND(Q54&lt;&gt;"",ISNUMBER(Q54)=FALSE),"Error 1.2",IF(AND(OR(Q54&lt;10000,Q54&gt;10000000)),"Error 3.2.1",IF(ABS(('Table 3a'!BY55*2)-'Table 3a'!BZ55)&gt;50,"Error 3.7","")))))</f>
      </c>
      <c r="BH54" s="660">
        <f t="shared" si="21"/>
      </c>
      <c r="BI54" s="660">
        <f t="shared" si="22"/>
      </c>
      <c r="BJ54" s="660">
        <f t="shared" si="23"/>
      </c>
      <c r="BK54" s="660">
        <f t="shared" si="24"/>
      </c>
      <c r="BL54" s="660">
        <f t="shared" si="25"/>
      </c>
      <c r="BM54" s="663"/>
      <c r="BN54" s="660">
        <f t="shared" si="26"/>
      </c>
      <c r="BO54" s="660">
        <f t="shared" si="27"/>
      </c>
      <c r="BP54" s="660">
        <f t="shared" si="28"/>
      </c>
      <c r="BQ54" s="660">
        <f t="shared" si="29"/>
      </c>
      <c r="BR54" s="660">
        <f t="shared" si="30"/>
      </c>
      <c r="BS54" s="660">
        <f t="shared" si="31"/>
      </c>
      <c r="BT54" s="662"/>
      <c r="BU54" s="660">
        <f t="shared" si="32"/>
      </c>
      <c r="BV54" s="660">
        <f t="shared" si="33"/>
      </c>
      <c r="BW54" s="605">
        <f t="shared" si="34"/>
        <v>0</v>
      </c>
      <c r="BX54" s="660">
        <f t="shared" si="35"/>
      </c>
      <c r="BY54" s="664"/>
      <c r="BZ54" s="664"/>
      <c r="CA54" s="665"/>
      <c r="CB54" s="665"/>
      <c r="CC54" s="666"/>
      <c r="CD54" s="154"/>
      <c r="DG54" s="3"/>
    </row>
    <row r="55" spans="1:111" s="52" customFormat="1" ht="12.75">
      <c r="A55" s="681"/>
      <c r="B55" s="645">
        <f>IF('Table 3a'!B56="","",'Table 3a'!B56)</f>
        <v>35</v>
      </c>
      <c r="C55" s="644" t="str">
        <f>IF('Table 3a'!C56="","",'Table 3a'!C56)</f>
        <v>Marston Green Infant School</v>
      </c>
      <c r="D55" s="645">
        <f>IF('Table 3a'!D56="","",'Table 3a'!D56)</f>
        <v>2081</v>
      </c>
      <c r="E55" s="646">
        <f>IF('Table 3a'!AC56="","",'Table 3a'!AC56)</f>
        <v>651662.47</v>
      </c>
      <c r="F55" s="646">
        <f>IF('Table 3a'!AJ56="","",'Table 3a'!AJ56)</f>
        <v>109666</v>
      </c>
      <c r="G55" s="647"/>
      <c r="H55" s="646">
        <f>IF('Table 3a'!AO56="","",'Table 3a'!AO56)</f>
        <v>0</v>
      </c>
      <c r="I55" s="646">
        <f>IF('Table 3a'!AU56="","",'Table 3a'!AU56)</f>
        <v>34045</v>
      </c>
      <c r="J55" s="646">
        <f>IF('Table 3a'!AX56="","",'Table 3a'!AX56)</f>
        <v>3265</v>
      </c>
      <c r="K55" s="646">
        <f>IF('Table 3a'!BC56="","",'Table 3a'!BC56)</f>
        <v>19838</v>
      </c>
      <c r="L55" s="646">
        <f>IF('Table 3a'!BI56="","",'Table 3a'!BI56)</f>
        <v>14827</v>
      </c>
      <c r="M55" s="646">
        <f>IF('Table 3a'!BN56="","",'Table 3a'!BN56)</f>
        <v>63373</v>
      </c>
      <c r="N55" s="646">
        <f>IF('Table 3a'!BT56="","",'Table 3a'!BT56)</f>
        <v>88381</v>
      </c>
      <c r="O55" s="646">
        <f>IF('Table 3a'!BW56="","",'Table 3a'!BW56)</f>
        <v>0</v>
      </c>
      <c r="P55" s="646">
        <f>IF('Table 3a'!BX56="","",'Table 3a'!BX56)</f>
        <v>0</v>
      </c>
      <c r="Q55" s="646">
        <f t="shared" si="7"/>
        <v>985057.47</v>
      </c>
      <c r="R55" s="646">
        <f>IF('Table 3a'!AB56="","",'Table 3a'!AB56)</f>
        <v>309</v>
      </c>
      <c r="S55" s="646">
        <f t="shared" si="8"/>
        <v>3187.8882524271844</v>
      </c>
      <c r="T55" s="649" t="s">
        <v>642</v>
      </c>
      <c r="U55" s="649">
        <v>51339.6911164702</v>
      </c>
      <c r="V55" s="649">
        <v>2352</v>
      </c>
      <c r="W55" s="651"/>
      <c r="X55" s="649">
        <v>29825</v>
      </c>
      <c r="Y55" s="649">
        <v>0</v>
      </c>
      <c r="Z55" s="649">
        <v>0</v>
      </c>
      <c r="AA55" s="649">
        <v>0</v>
      </c>
      <c r="AB55" s="649">
        <v>0</v>
      </c>
      <c r="AC55" s="649">
        <f t="shared" si="9"/>
        <v>37310</v>
      </c>
      <c r="AD55" s="647"/>
      <c r="AE55" s="652"/>
      <c r="AF55" s="653"/>
      <c r="AG55" s="654"/>
      <c r="AH55" s="655"/>
      <c r="AI55" s="656"/>
      <c r="AJ55" s="657"/>
      <c r="AK55" s="658"/>
      <c r="AL55" s="658"/>
      <c r="AM55" s="658"/>
      <c r="AN55" s="657"/>
      <c r="AO55" s="658"/>
      <c r="AP55" s="658"/>
      <c r="AQ55" s="658"/>
      <c r="AR55" s="682"/>
      <c r="AS55" s="660">
        <f t="shared" si="10"/>
      </c>
      <c r="AT55" s="660">
        <f>IF(OR(OR(AND(C55="",D55&lt;&gt;""),AND(C55&lt;&gt;"",D55="")),AND(OR(SUM(Q55)&lt;&gt;0,SUM(R55)&lt;&gt;0,AND(U55&lt;&gt;"",U55&lt;&gt;0),AND(V55&lt;&gt;"",V55&lt;&gt;0),AND(W55&lt;&gt;"",W55&lt;&gt;0),AND(X55&lt;&gt;"",X55&lt;&gt;0),AND(Y55&lt;&gt;"",Y55&lt;&gt;0),AND(Z55&lt;&gt;"",Z55&lt;&gt;0),AND(AA55&lt;&gt;"",AA55&lt;&gt;0),AND(AB55&lt;&gt;"",AB55&lt;&gt;0),AND(AC55&lt;&gt;"",AC55&lt;&gt;0),AND(AD55&lt;&gt;"",AD55&lt;&gt;0),AE55&lt;&gt;"",AF55&lt;&gt;""),OR(C55="",D55=""))),"Error 2.11",IF(AND(C55&lt;&gt;"",ISNUMBER(D55)=FALSE),"Error 1.2",IF(AND(C55&lt;&gt;"",'Table 3a'!D56-INT('Table 3a'!D56)&lt;&gt;0),"Error 2.1",IF(AND(C55&lt;&gt;"",OR(D55&lt;2000,AND(D55&gt;3999,D55&lt;5200),AND(D55&gt;5299,D55&lt;5940),D55&gt;5949)),"Error 2.3",IF(AND(C55&lt;&gt;"",COUNTIF(startdfes:enddfes,D55)&gt;1),"Warning 1.2","")))))</f>
      </c>
      <c r="AU55" s="660">
        <f>IF(AND(OR(E55="",E55=0),C55="",D55=""),"",IF(AND(OR(C55&lt;&gt;"",D55&lt;&gt;""),E55=""),"Error 4.10.2",IF(AND(E55&lt;&gt;"",ISNUMBER(E55)=FALSE),"Error 1.2",IF(E55&lt;=0,"Error 1.4",IF('Table 3a'!AC56&lt;&gt;'Table 3a'!CA56,"Warning 2.7","")))))</f>
      </c>
      <c r="AV55" s="660">
        <f t="shared" si="11"/>
      </c>
      <c r="AW55" s="661"/>
      <c r="AX55" s="660">
        <f t="shared" si="12"/>
      </c>
      <c r="AY55" s="660">
        <f t="shared" si="13"/>
      </c>
      <c r="AZ55" s="660">
        <f t="shared" si="14"/>
      </c>
      <c r="BA55" s="660">
        <f t="shared" si="15"/>
      </c>
      <c r="BB55" s="660">
        <f t="shared" si="16"/>
      </c>
      <c r="BC55" s="660">
        <f t="shared" si="17"/>
      </c>
      <c r="BD55" s="660">
        <f t="shared" si="18"/>
      </c>
      <c r="BE55" s="660">
        <f t="shared" si="19"/>
      </c>
      <c r="BF55" s="660">
        <f t="shared" si="20"/>
      </c>
      <c r="BG55" s="660">
        <f>IF(AND(OR(Q55="",Q55=0),C55="",D55=""),"",IF(AND(OR(C55&lt;&gt;"",D55&lt;&gt;""),Q55=""),"Error 4.10.2",IF(AND(Q55&lt;&gt;"",ISNUMBER(Q55)=FALSE),"Error 1.2",IF(AND(OR(Q55&lt;10000,Q55&gt;10000000)),"Error 3.2.1",IF(ABS(('Table 3a'!BY56*2)-'Table 3a'!BZ56)&gt;50,"Error 3.7","")))))</f>
      </c>
      <c r="BH55" s="660">
        <f t="shared" si="21"/>
      </c>
      <c r="BI55" s="660">
        <f t="shared" si="22"/>
      </c>
      <c r="BJ55" s="660">
        <f t="shared" si="23"/>
      </c>
      <c r="BK55" s="660">
        <f t="shared" si="24"/>
      </c>
      <c r="BL55" s="660">
        <f t="shared" si="25"/>
      </c>
      <c r="BM55" s="663"/>
      <c r="BN55" s="660">
        <f t="shared" si="26"/>
      </c>
      <c r="BO55" s="660">
        <f t="shared" si="27"/>
      </c>
      <c r="BP55" s="660">
        <f t="shared" si="28"/>
      </c>
      <c r="BQ55" s="660">
        <f t="shared" si="29"/>
      </c>
      <c r="BR55" s="660">
        <f t="shared" si="30"/>
      </c>
      <c r="BS55" s="660">
        <f t="shared" si="31"/>
      </c>
      <c r="BT55" s="662"/>
      <c r="BU55" s="660">
        <f t="shared" si="32"/>
      </c>
      <c r="BV55" s="660">
        <f t="shared" si="33"/>
      </c>
      <c r="BW55" s="605">
        <f t="shared" si="34"/>
        <v>0</v>
      </c>
      <c r="BX55" s="660">
        <f t="shared" si="35"/>
      </c>
      <c r="BY55" s="664"/>
      <c r="BZ55" s="664"/>
      <c r="CA55" s="665"/>
      <c r="CB55" s="665"/>
      <c r="CC55" s="666"/>
      <c r="CD55" s="154"/>
      <c r="DG55" s="3"/>
    </row>
    <row r="56" spans="1:111" s="52" customFormat="1" ht="12.75">
      <c r="A56" s="681"/>
      <c r="B56" s="645">
        <f>IF('Table 3a'!B57="","",'Table 3a'!B57)</f>
        <v>13</v>
      </c>
      <c r="C56" s="644" t="str">
        <f>IF('Table 3a'!C57="","",'Table 3a'!C57)</f>
        <v>Cheswick Green Primary School</v>
      </c>
      <c r="D56" s="645">
        <f>IF('Table 3a'!D57="","",'Table 3a'!D57)</f>
        <v>2082</v>
      </c>
      <c r="E56" s="646">
        <f>IF('Table 3a'!AC57="","",'Table 3a'!AC57)</f>
        <v>403054.72</v>
      </c>
      <c r="F56" s="646">
        <f>IF('Table 3a'!AJ57="","",'Table 3a'!AJ57)</f>
        <v>38036</v>
      </c>
      <c r="G56" s="647"/>
      <c r="H56" s="646">
        <f>IF('Table 3a'!AO57="","",'Table 3a'!AO57)</f>
        <v>0</v>
      </c>
      <c r="I56" s="646">
        <f>IF('Table 3a'!AU57="","",'Table 3a'!AU57)</f>
        <v>30722</v>
      </c>
      <c r="J56" s="646">
        <f>IF('Table 3a'!AX57="","",'Table 3a'!AX57)</f>
        <v>7335</v>
      </c>
      <c r="K56" s="646">
        <f>IF('Table 3a'!BC57="","",'Table 3a'!BC57)</f>
        <v>8006</v>
      </c>
      <c r="L56" s="646">
        <f>IF('Table 3a'!BI57="","",'Table 3a'!BI57)</f>
        <v>4074</v>
      </c>
      <c r="M56" s="646">
        <f>IF('Table 3a'!BN57="","",'Table 3a'!BN57)</f>
        <v>49112</v>
      </c>
      <c r="N56" s="646">
        <f>IF('Table 3a'!BT57="","",'Table 3a'!BT57)</f>
        <v>118238</v>
      </c>
      <c r="O56" s="646">
        <f>IF('Table 3a'!BW57="","",'Table 3a'!BW57)</f>
        <v>0</v>
      </c>
      <c r="P56" s="646">
        <f>IF('Table 3a'!BX57="","",'Table 3a'!BX57)</f>
        <v>0</v>
      </c>
      <c r="Q56" s="646">
        <f t="shared" si="7"/>
        <v>658577.72</v>
      </c>
      <c r="R56" s="646">
        <f>IF('Table 3a'!AB57="","",'Table 3a'!AB57)</f>
        <v>187</v>
      </c>
      <c r="S56" s="646">
        <f t="shared" si="8"/>
        <v>3521.8059893048126</v>
      </c>
      <c r="T56" s="649" t="s">
        <v>642</v>
      </c>
      <c r="U56" s="649">
        <v>35669.661192628424</v>
      </c>
      <c r="V56" s="649">
        <v>3192</v>
      </c>
      <c r="W56" s="651"/>
      <c r="X56" s="649">
        <v>16540</v>
      </c>
      <c r="Y56" s="649">
        <v>0</v>
      </c>
      <c r="Z56" s="649">
        <v>0</v>
      </c>
      <c r="AA56" s="649">
        <v>0</v>
      </c>
      <c r="AB56" s="649">
        <v>0</v>
      </c>
      <c r="AC56" s="649">
        <f t="shared" si="9"/>
        <v>38057</v>
      </c>
      <c r="AD56" s="647"/>
      <c r="AE56" s="652"/>
      <c r="AF56" s="653"/>
      <c r="AG56" s="654"/>
      <c r="AH56" s="655"/>
      <c r="AI56" s="656"/>
      <c r="AJ56" s="657"/>
      <c r="AK56" s="658"/>
      <c r="AL56" s="658"/>
      <c r="AM56" s="658"/>
      <c r="AN56" s="657"/>
      <c r="AO56" s="658"/>
      <c r="AP56" s="658"/>
      <c r="AQ56" s="658"/>
      <c r="AR56" s="682"/>
      <c r="AS56" s="660">
        <f t="shared" si="10"/>
      </c>
      <c r="AT56" s="660">
        <f>IF(OR(OR(AND(C56="",D56&lt;&gt;""),AND(C56&lt;&gt;"",D56="")),AND(OR(SUM(Q56)&lt;&gt;0,SUM(R56)&lt;&gt;0,AND(U56&lt;&gt;"",U56&lt;&gt;0),AND(V56&lt;&gt;"",V56&lt;&gt;0),AND(W56&lt;&gt;"",W56&lt;&gt;0),AND(X56&lt;&gt;"",X56&lt;&gt;0),AND(Y56&lt;&gt;"",Y56&lt;&gt;0),AND(Z56&lt;&gt;"",Z56&lt;&gt;0),AND(AA56&lt;&gt;"",AA56&lt;&gt;0),AND(AB56&lt;&gt;"",AB56&lt;&gt;0),AND(AC56&lt;&gt;"",AC56&lt;&gt;0),AND(AD56&lt;&gt;"",AD56&lt;&gt;0),AE56&lt;&gt;"",AF56&lt;&gt;""),OR(C56="",D56=""))),"Error 2.11",IF(AND(C56&lt;&gt;"",ISNUMBER(D56)=FALSE),"Error 1.2",IF(AND(C56&lt;&gt;"",'Table 3a'!D57-INT('Table 3a'!D57)&lt;&gt;0),"Error 2.1",IF(AND(C56&lt;&gt;"",OR(D56&lt;2000,AND(D56&gt;3999,D56&lt;5200),AND(D56&gt;5299,D56&lt;5940),D56&gt;5949)),"Error 2.3",IF(AND(C56&lt;&gt;"",COUNTIF(startdfes:enddfes,D56)&gt;1),"Warning 1.2","")))))</f>
      </c>
      <c r="AU56" s="660">
        <f>IF(AND(OR(E56="",E56=0),C56="",D56=""),"",IF(AND(OR(C56&lt;&gt;"",D56&lt;&gt;""),E56=""),"Error 4.10.2",IF(AND(E56&lt;&gt;"",ISNUMBER(E56)=FALSE),"Error 1.2",IF(E56&lt;=0,"Error 1.4",IF('Table 3a'!AC57&lt;&gt;'Table 3a'!CA57,"Warning 2.7","")))))</f>
      </c>
      <c r="AV56" s="660">
        <f t="shared" si="11"/>
      </c>
      <c r="AW56" s="661"/>
      <c r="AX56" s="660">
        <f t="shared" si="12"/>
      </c>
      <c r="AY56" s="660">
        <f t="shared" si="13"/>
      </c>
      <c r="AZ56" s="660">
        <f t="shared" si="14"/>
      </c>
      <c r="BA56" s="660">
        <f t="shared" si="15"/>
      </c>
      <c r="BB56" s="660">
        <f t="shared" si="16"/>
      </c>
      <c r="BC56" s="660">
        <f t="shared" si="17"/>
      </c>
      <c r="BD56" s="660">
        <f t="shared" si="18"/>
      </c>
      <c r="BE56" s="660">
        <f t="shared" si="19"/>
      </c>
      <c r="BF56" s="660">
        <f t="shared" si="20"/>
      </c>
      <c r="BG56" s="660">
        <f>IF(AND(OR(Q56="",Q56=0),C56="",D56=""),"",IF(AND(OR(C56&lt;&gt;"",D56&lt;&gt;""),Q56=""),"Error 4.10.2",IF(AND(Q56&lt;&gt;"",ISNUMBER(Q56)=FALSE),"Error 1.2",IF(AND(OR(Q56&lt;10000,Q56&gt;10000000)),"Error 3.2.1",IF(ABS(('Table 3a'!BY57*2)-'Table 3a'!BZ57)&gt;50,"Error 3.7","")))))</f>
      </c>
      <c r="BH56" s="660">
        <f t="shared" si="21"/>
      </c>
      <c r="BI56" s="660">
        <f t="shared" si="22"/>
      </c>
      <c r="BJ56" s="660">
        <f t="shared" si="23"/>
      </c>
      <c r="BK56" s="660">
        <f t="shared" si="24"/>
      </c>
      <c r="BL56" s="660">
        <f t="shared" si="25"/>
      </c>
      <c r="BM56" s="663"/>
      <c r="BN56" s="660">
        <f t="shared" si="26"/>
      </c>
      <c r="BO56" s="660">
        <f t="shared" si="27"/>
      </c>
      <c r="BP56" s="660">
        <f t="shared" si="28"/>
      </c>
      <c r="BQ56" s="660">
        <f t="shared" si="29"/>
      </c>
      <c r="BR56" s="660">
        <f t="shared" si="30"/>
      </c>
      <c r="BS56" s="660">
        <f t="shared" si="31"/>
      </c>
      <c r="BT56" s="662"/>
      <c r="BU56" s="660">
        <f t="shared" si="32"/>
      </c>
      <c r="BV56" s="660">
        <f t="shared" si="33"/>
      </c>
      <c r="BW56" s="605">
        <f t="shared" si="34"/>
        <v>0</v>
      </c>
      <c r="BX56" s="660">
        <f t="shared" si="35"/>
      </c>
      <c r="BY56" s="664"/>
      <c r="BZ56" s="664"/>
      <c r="CA56" s="665"/>
      <c r="CB56" s="665"/>
      <c r="CC56" s="666"/>
      <c r="CD56" s="154"/>
      <c r="DG56" s="3"/>
    </row>
    <row r="57" spans="1:111" s="52" customFormat="1" ht="12.75">
      <c r="A57" s="681"/>
      <c r="B57" s="645">
        <f>IF('Table 3a'!B58="","",'Table 3a'!B58)</f>
        <v>43</v>
      </c>
      <c r="C57" s="644" t="str">
        <f>IF('Table 3a'!C58="","",'Table 3a'!C58)</f>
        <v>Peterbrook Primary School</v>
      </c>
      <c r="D57" s="645">
        <f>IF('Table 3a'!D58="","",'Table 3a'!D58)</f>
        <v>2085</v>
      </c>
      <c r="E57" s="646">
        <f>IF('Table 3a'!AC58="","",'Table 3a'!AC58)</f>
        <v>899125.5800000001</v>
      </c>
      <c r="F57" s="646">
        <f>IF('Table 3a'!AJ58="","",'Table 3a'!AJ58)</f>
        <v>64551</v>
      </c>
      <c r="G57" s="647"/>
      <c r="H57" s="646">
        <f>IF('Table 3a'!AO58="","",'Table 3a'!AO58)</f>
        <v>0</v>
      </c>
      <c r="I57" s="646">
        <f>IF('Table 3a'!AU58="","",'Table 3a'!AU58)</f>
        <v>47149</v>
      </c>
      <c r="J57" s="646">
        <f>IF('Table 3a'!AX58="","",'Table 3a'!AX58)</f>
        <v>3265</v>
      </c>
      <c r="K57" s="646">
        <f>IF('Table 3a'!BC58="","",'Table 3a'!BC58)</f>
        <v>27678</v>
      </c>
      <c r="L57" s="646">
        <f>IF('Table 3a'!BI58="","",'Table 3a'!BI58)</f>
        <v>23552</v>
      </c>
      <c r="M57" s="646">
        <f>IF('Table 3a'!BN58="","",'Table 3a'!BN58)</f>
        <v>86686</v>
      </c>
      <c r="N57" s="646">
        <f>IF('Table 3a'!BT58="","",'Table 3a'!BT58)</f>
        <v>90675</v>
      </c>
      <c r="O57" s="646">
        <f>IF('Table 3a'!BW58="","",'Table 3a'!BW58)</f>
        <v>0</v>
      </c>
      <c r="P57" s="646">
        <f>IF('Table 3a'!BX58="","",'Table 3a'!BX58)</f>
        <v>0</v>
      </c>
      <c r="Q57" s="646">
        <f aca="true" t="shared" si="36" ref="Q57:Q88">SUM(E57,F57,G57,H57,I57,J57,K57,L57,M57,N57,O57,P57)</f>
        <v>1242681.58</v>
      </c>
      <c r="R57" s="646">
        <f>IF('Table 3a'!AB58="","",'Table 3a'!AB58)</f>
        <v>424</v>
      </c>
      <c r="S57" s="646">
        <f aca="true" t="shared" si="37" ref="S57:S88">IF(R57=0,0,IF(ISERROR(Q57/R57),0,Q57/R57))</f>
        <v>2930.852783018868</v>
      </c>
      <c r="T57" s="649" t="s">
        <v>642</v>
      </c>
      <c r="U57" s="649">
        <v>64950.10916512242</v>
      </c>
      <c r="V57" s="649">
        <v>9755</v>
      </c>
      <c r="W57" s="651"/>
      <c r="X57" s="649">
        <v>39812</v>
      </c>
      <c r="Y57" s="649">
        <v>0</v>
      </c>
      <c r="Z57" s="649">
        <v>0</v>
      </c>
      <c r="AA57" s="649">
        <v>0</v>
      </c>
      <c r="AB57" s="649">
        <v>0</v>
      </c>
      <c r="AC57" s="649">
        <f aca="true" t="shared" si="38" ref="AC57:AC88">+I57+J57</f>
        <v>50414</v>
      </c>
      <c r="AD57" s="647"/>
      <c r="AE57" s="652"/>
      <c r="AF57" s="653"/>
      <c r="AG57" s="654"/>
      <c r="AH57" s="655"/>
      <c r="AI57" s="656"/>
      <c r="AJ57" s="657"/>
      <c r="AK57" s="658"/>
      <c r="AL57" s="658"/>
      <c r="AM57" s="658"/>
      <c r="AN57" s="657"/>
      <c r="AO57" s="658"/>
      <c r="AP57" s="658"/>
      <c r="AQ57" s="658"/>
      <c r="AR57" s="682"/>
      <c r="AS57" s="660">
        <f aca="true" t="shared" si="39" ref="AS57:AS89">IF(OR(OR(AND(C57="",D57&lt;&gt;""),AND(C57&lt;&gt;"",D57="")),AND(OR(SUM(Q57)&lt;&gt;0,SUM(R57)&lt;&gt;0,AND(U57&lt;&gt;"",U57&lt;&gt;0),AND(V57&lt;&gt;"",V57&lt;&gt;0),AND(W57&lt;&gt;"",W57&lt;&gt;0),AND(X57&lt;&gt;"",X57&lt;&gt;0),AND(Y57&lt;&gt;"",Y57&lt;&gt;0),AND(Z57&lt;&gt;"",Z57&lt;&gt;0),AND(AA57&lt;&gt;"",AA57&lt;&gt;0),AND(AB57&lt;&gt;"",AB57&lt;&gt;0),AND(AC57&lt;&gt;"",AC57&lt;&gt;0),AND(AD57&lt;&gt;"",AD57&lt;&gt;0),AE57&lt;&gt;"",AF57&lt;&gt;""),OR(C57="",D57=""))),"Error 2.11",IF(LEFT(C57,11)="Situated at","Error 2.12",""))</f>
      </c>
      <c r="AT57" s="660">
        <f>IF(OR(OR(AND(C57="",D57&lt;&gt;""),AND(C57&lt;&gt;"",D57="")),AND(OR(SUM(Q57)&lt;&gt;0,SUM(R57)&lt;&gt;0,AND(U57&lt;&gt;"",U57&lt;&gt;0),AND(V57&lt;&gt;"",V57&lt;&gt;0),AND(W57&lt;&gt;"",W57&lt;&gt;0),AND(X57&lt;&gt;"",X57&lt;&gt;0),AND(Y57&lt;&gt;"",Y57&lt;&gt;0),AND(Z57&lt;&gt;"",Z57&lt;&gt;0),AND(AA57&lt;&gt;"",AA57&lt;&gt;0),AND(AB57&lt;&gt;"",AB57&lt;&gt;0),AND(AC57&lt;&gt;"",AC57&lt;&gt;0),AND(AD57&lt;&gt;"",AD57&lt;&gt;0),AE57&lt;&gt;"",AF57&lt;&gt;""),OR(C57="",D57=""))),"Error 2.11",IF(AND(C57&lt;&gt;"",ISNUMBER(D57)=FALSE),"Error 1.2",IF(AND(C57&lt;&gt;"",'Table 3a'!D58-INT('Table 3a'!D58)&lt;&gt;0),"Error 2.1",IF(AND(C57&lt;&gt;"",OR(D57&lt;2000,AND(D57&gt;3999,D57&lt;5200),AND(D57&gt;5299,D57&lt;5940),D57&gt;5949)),"Error 2.3",IF(AND(C57&lt;&gt;"",COUNTIF(startdfes:enddfes,D57)&gt;1),"Warning 1.2","")))))</f>
      </c>
      <c r="AU57" s="660">
        <f>IF(AND(OR(E57="",E57=0),C57="",D57=""),"",IF(AND(OR(C57&lt;&gt;"",D57&lt;&gt;""),E57=""),"Error 4.10.2",IF(AND(E57&lt;&gt;"",ISNUMBER(E57)=FALSE),"Error 1.2",IF(E57&lt;=0,"Error 1.4",IF('Table 3a'!AC58&lt;&gt;'Table 3a'!CA58,"Warning 2.7","")))))</f>
      </c>
      <c r="AV57" s="660">
        <f aca="true" t="shared" si="40" ref="AV57:AV89">IF(AND(OR(F57="",F57=0),C57="",D57=""),"",IF(AND(OR(C57&lt;&gt;"",D57&lt;&gt;""),F57=""),"Error 4.10.2",IF(AND(F57&lt;&gt;"",ISNUMBER(F57)=FALSE),"Error 1.2",IF(F57&lt;0,"Error 1.3",""))))</f>
      </c>
      <c r="AW57" s="661"/>
      <c r="AX57" s="660">
        <f aca="true" t="shared" si="41" ref="AX57:AX89">IF(AND(OR(H57="",H57=0),C57="",D57=""),"",IF(AND(OR(C57&lt;&gt;"",D57&lt;&gt;""),H57=""),"Error 4.10.2",IF(AND(H57&lt;&gt;"",ISNUMBER(H57)=FALSE),"Error 1.2",IF(H57&lt;0,"Error 1.3",""))))</f>
      </c>
      <c r="AY57" s="660">
        <f aca="true" t="shared" si="42" ref="AY57:AY89">IF(AND(OR(I57="",I57=0),C57="",D57=""),"",IF(AND(OR(C57&lt;&gt;"",D57&lt;&gt;""),I57=""),"Error 4.10.2",IF(AND(I57&lt;&gt;"",ISNUMBER(I57)=FALSE),"Error 1.2",IF(I57=0,"Warning 2.4",IF(I57&lt;0,"Error 1.3","")))))</f>
      </c>
      <c r="AZ57" s="660">
        <f aca="true" t="shared" si="43" ref="AZ57:AZ89">IF(AND(OR(J57="",J57=0),C57="",D57=""),"",IF(AND(OR(C57&lt;&gt;"",D57&lt;&gt;""),J57=""),"Error 4.10.2",IF(AND(J57&lt;&gt;"",ISNUMBER(J57)=FALSE),"Error 1.2",IF(J57&lt;0,"Error 1.3",""))))</f>
      </c>
      <c r="BA57" s="660">
        <f aca="true" t="shared" si="44" ref="BA57:BA89">IF(AND(OR(K57="",K57=0),C57="",D57=""),"",IF(AND(OR(C57&lt;&gt;"",D57&lt;&gt;""),K57=""),"Error 4.10.2",IF(AND(K57&lt;&gt;"",ISNUMBER(K57)=FALSE),"Error 1.2",IF(K57&lt;0,"Error 1.3",""))))</f>
      </c>
      <c r="BB57" s="660">
        <f aca="true" t="shared" si="45" ref="BB57:BB89">IF(AND(OR(L57="",L57=0),C57="",D57=""),"",IF(AND(OR(C57&lt;&gt;"",D57&lt;&gt;""),L57=""),"Error 4.10.2",IF(AND(L57&lt;&gt;"",ISNUMBER(L57)=FALSE),"Error 1.2",IF(L57&lt;0,"Error 1.3",""))))</f>
      </c>
      <c r="BC57" s="660">
        <f aca="true" t="shared" si="46" ref="BC57:BC89">IF(AND(OR(M57="",M57=0),C57="",D57=""),"",IF(AND(OR(C57&lt;&gt;"",D57&lt;&gt;""),M57=""),"Error 4.10.2",IF(AND(M57&lt;&gt;"",ISNUMBER(M57)=FALSE),"Error 1.2",IF(M57&lt;0,"Error 1.3",""))))</f>
      </c>
      <c r="BD57" s="660">
        <f aca="true" t="shared" si="47" ref="BD57:BD89">IF(AND(OR(N57="",N57=0),C57="",D57=""),"",IF(AND(OR(C57&lt;&gt;"",D57&lt;&gt;""),N57=""),"Error 4.10.2",IF(AND(N57&lt;&gt;"",ISNUMBER(N57)=FALSE),"Error 1.2",IF(N57&lt;0,"Error 1.3",""))))</f>
      </c>
      <c r="BE57" s="660">
        <f aca="true" t="shared" si="48" ref="BE57:BE89">IF(AND(OR(O57="",O57=0),C57="",D57=""),"",IF(AND(OR(C57&lt;&gt;"",D57&lt;&gt;""),O57=""),"Error 4.10.2",IF(AND(O57&lt;&gt;"",ISNUMBER(O57)=FALSE),"Error 1.2","")))</f>
      </c>
      <c r="BF57" s="660">
        <f aca="true" t="shared" si="49" ref="BF57:BF89">IF(AND(OR(P57="",P57=0),C57="",D57=""),"",IF(AND(OR(C57&lt;&gt;"",D57&lt;&gt;""),P57=""),"Error 4.10.2",IF(AND(P57&lt;&gt;"",ISNUMBER(P57)=FALSE),"Error 1.2",IF(P57&lt;0,"Error 1.3",""))))</f>
      </c>
      <c r="BG57" s="660">
        <f>IF(AND(OR(Q57="",Q57=0),C57="",D57=""),"",IF(AND(OR(C57&lt;&gt;"",D57&lt;&gt;""),Q57=""),"Error 4.10.2",IF(AND(Q57&lt;&gt;"",ISNUMBER(Q57)=FALSE),"Error 1.2",IF(AND(OR(Q57&lt;10000,Q57&gt;10000000)),"Error 3.2.1",IF(ABS(('Table 3a'!BY58*2)-'Table 3a'!BZ58)&gt;50,"Error 3.7","")))))</f>
      </c>
      <c r="BH57" s="660">
        <f aca="true" t="shared" si="50" ref="BH57:BH89">IF(AND(OR(R57="",R57=0),C57="",D57=""),"",IF(AND(OR(C57&lt;&gt;"",D57&lt;&gt;""),R57=""),"Error 4.10.2",IF(AND(R57&lt;&gt;"",ISNUMBER(R57)=FALSE),"Error 1.2",IF(OR(R57&lt;1,R57&gt;2999),"Error 2.6",""))))</f>
      </c>
      <c r="BI57" s="660">
        <f aca="true" t="shared" si="51" ref="BI57:BI89">IF(AND(OR(S57="",S57=0),C57="",D57=""),"",IF(AND(OR(C57&lt;&gt;"",D57&lt;&gt;""),S57=""),"Error 4.10.2",IF(AND(S57&lt;&gt;"",ISNUMBER(S57)=FALSE),"Error 1.2",IF(S57&lt;=0,"Error 1.4",""))))</f>
      </c>
      <c r="BJ57" s="660">
        <f aca="true" t="shared" si="52" ref="BJ57:BJ91">IF(AND(T57="",C57="",D57=""),"",IF(AND(T57="",$H$1&lt;&gt;"*"),"",IF(AND(OR(C57&lt;&gt;"",D57&lt;&gt;""),AND(T57="",$H$1="*")),"Error 1.1",IF(AND(OR(C57&lt;&gt;"",D57&lt;&gt;""),AND(T57="",$H$1="*")),"Error 1.1",IF(AND(AND(T57&lt;&gt;"School Forum",T57&lt;&gt;"Secretary Of State",T57&lt;&gt;"No Variation Applied"),OR(C57&lt;&gt;"",D57&lt;&gt;"")),"Error 3.9",IF(AND(OR(T57="School Forum",T57="Secretary Of State"),($DG$187="NO")),"Warning 2.6",""))))))</f>
      </c>
      <c r="BK57" s="660">
        <f aca="true" t="shared" si="53" ref="BK57:BK89">IF(AND(U57="",C57="",D57=""),"",IF(AND(U57="",$H$1&lt;&gt;"*"),"",IF(AND(OR(C57&lt;&gt;"",D57&lt;&gt;""),AND(U57="",$H$1="*")),"Error 1.1",IF(AND(U57&lt;&gt;"",ISNUMBER(U57)=FALSE),"Error 1.2",IF(U57&lt;0,"Error 1.3",IF(U57&gt;=500000,"Error 3.4.1",""))))))</f>
      </c>
      <c r="BL57" s="660">
        <f aca="true" t="shared" si="54" ref="BL57:BL89">IF(AND(V57="",C57="",D57=""),"",IF(AND(V57="",$H$1&lt;&gt;"*"),"",IF(AND(OR(C57&lt;&gt;"",D57&lt;&gt;""),AND(V57="",$H$1="*")),"Error 1.1",IF(AND(V57&lt;&gt;"",ISNUMBER(V57)=FALSE),"Error 1.2",IF(V57&lt;0,"Error 1.3",IF(V57&gt;=500000,"Error 3.4.2",""))))))</f>
      </c>
      <c r="BM57" s="663"/>
      <c r="BN57" s="660">
        <f aca="true" t="shared" si="55" ref="BN57:BN89">IF(AND(X57="",C57="",D57=""),"",IF(AND(X57="",$H$1&lt;&gt;"*"),"",IF(AND(OR(C57&lt;&gt;"",D57&lt;&gt;""),AND(X57="",$H$1="*")),"Error 1.1",IF(AND(X57&lt;&gt;"",ISNUMBER(X57)=FALSE),"Error 1.2",IF(X57&lt;0,"Error 1.3",IF(X57&gt;=1000000,"Error 3.4.3",""))))))</f>
      </c>
      <c r="BO57" s="660">
        <f aca="true" t="shared" si="56" ref="BO57:BO89">IF(AND(Y57="",C57="",D57=""),"",IF(AND(Y57="",$H$1&lt;&gt;"*"),"",IF(AND(OR(C57&lt;&gt;"",D57&lt;&gt;""),AND(Y57="",$H$1="*")),"Error 1.1",IF(AND(Y57&lt;&gt;"",ISNUMBER(Y57)=FALSE),"Error 1.2",IF(Y57&lt;0,"Error 1.3",IF(Y57&gt;=1000000,"Error 3.4.3",""))))))</f>
      </c>
      <c r="BP57" s="660">
        <f aca="true" t="shared" si="57" ref="BP57:BP89">IF(AND(Z57="",C57="",D57=""),"",IF(AND(Z57="",$H$1&lt;&gt;"*"),"",IF(AND(OR(C57&lt;&gt;"",D57&lt;&gt;""),AND(Z57="",$H$1="*")),"Error 1.1",IF(AND(Z57&lt;&gt;"",ISNUMBER(Z57)=FALSE),"Error 1.2",IF(Z57&lt;0,"Error 1.3",IF(Z57&gt;=500000,"Error 3.4.4",""))))))</f>
      </c>
      <c r="BQ57" s="660">
        <f aca="true" t="shared" si="58" ref="BQ57:BQ89">IF(AND(AA57="",C57="",D57=""),"",IF(AND(AA57="",$H$1&lt;&gt;"*"),"",IF(AND(OR(C57&lt;&gt;"",D57&lt;&gt;""),AND(AA57="",$H$1="*")),"Error 1.1",IF(AND(AA57&lt;&gt;"",ISNUMBER(AA57)=FALSE),"Error 1.2",IF(AA57&lt;0,"Error 1.3",IF(AA57&gt;=500000,"Error 3.4.5",""))))))</f>
      </c>
      <c r="BR57" s="660">
        <f aca="true" t="shared" si="59" ref="BR57:BR89">IF(AND(AB57="",C57="",D57=""),"",IF(AND(AB57="",$H$1&lt;&gt;"*"),"",IF(AND(OR(C57&lt;&gt;"",D57&lt;&gt;""),AND(AB57="",$H$1="*")),"Error 1.1",IF(AND(AB57&lt;&gt;"",ISNUMBER(AB57)=FALSE),"Error 1.2",IF(AB57&lt;0,"Error 1.3",IF(AB57&gt;=500000,"Error 3.4.6",""))))))</f>
      </c>
      <c r="BS57" s="660">
        <f aca="true" t="shared" si="60" ref="BS57:BS89">IF(AND(AC57="",C57="",D57=""),"",IF(AND(AC57="",$H$1&lt;&gt;"*"),"",IF(AND(OR(C57&lt;&gt;"",D57&lt;&gt;""),AND(AC57="",$H$1="*")),"Error 1.1",IF(AND(AC57&lt;&gt;"",ISNUMBER(AC57)=FALSE),"Error 1.2",IF(AC57&lt;=0,"Error 1.4",IF(BX57&lt;&gt;"",BX57,""))))))</f>
      </c>
      <c r="BT57" s="662"/>
      <c r="BU57" s="660">
        <f aca="true" t="shared" si="61" ref="BU57:BU89">IF(AND(AE57&lt;&gt;"",UPPER(AE57)&lt;&gt;"C",UPPER(AE57)&lt;&gt;"O"),"Error 2.8","")</f>
      </c>
      <c r="BV57" s="660">
        <f aca="true" t="shared" si="62" ref="BV57:BV89">IF(AND(AE57="",AF57=""),"",IF(AND(AE57&lt;&gt;"",AF57=""),"Error 2.9.1",IF(AND(AE57="",AF57&lt;&gt;""),"Error 2.9.1",IF(ISNUMBER(AF57)&lt;&gt;TRUE,"Error 2.9.1",IF(AND(AE57&lt;&gt;"",R57&gt;0,(OR(AF57&lt;DATE(2010,4,1),AF57&gt;DATE(2011,3,31)))),"Error 2.10.2","")))))</f>
      </c>
      <c r="BW57" s="605">
        <f aca="true" t="shared" si="63" ref="BW57:BW88">IF(LEN(TRIM(AS57&amp;AT57&amp;AU57&amp;AV57&amp;AX57&amp;AY57&amp;AZ57&amp;BA57&amp;BB57&amp;BC57&amp;BD57&amp;BE57&amp;BF57&amp;BG57&amp;BH57&amp;BI57&amp;BJ57&amp;BK57&amp;BL57&amp;BM57&amp;BN57&amp;BO57&amp;BP57&amp;BQ57&amp;BR57&amp;BS57&amp;BU57&amp;BV57))&gt;0,1,0)</f>
        <v>0</v>
      </c>
      <c r="BX57" s="660">
        <f aca="true" t="shared" si="64" ref="BX57:BX89">IF(AND(AC57&lt;&gt;"",AC57&gt;=Q57),"Error 3.3.1",IF(AND(AC57&lt;&gt;"",AC57&lt;SUM(I57,J57)),"Error 3.3.2",""))</f>
      </c>
      <c r="BY57" s="664"/>
      <c r="BZ57" s="664"/>
      <c r="CA57" s="665"/>
      <c r="CB57" s="665"/>
      <c r="CC57" s="666"/>
      <c r="CD57" s="154"/>
      <c r="DG57" s="3"/>
    </row>
    <row r="58" spans="1:111" s="52" customFormat="1" ht="12.75">
      <c r="A58" s="681"/>
      <c r="B58" s="645">
        <f>IF('Table 3a'!B59="","",'Table 3a'!B59)</f>
        <v>12</v>
      </c>
      <c r="C58" s="644" t="str">
        <f>IF('Table 3a'!C59="","",'Table 3a'!C59)</f>
        <v>Chapel Fields Junior School</v>
      </c>
      <c r="D58" s="645">
        <f>IF('Table 3a'!D59="","",'Table 3a'!D59)</f>
        <v>2087</v>
      </c>
      <c r="E58" s="646">
        <f>IF('Table 3a'!AC59="","",'Table 3a'!AC59)</f>
        <v>576737.1000000001</v>
      </c>
      <c r="F58" s="646">
        <f>IF('Table 3a'!AJ59="","",'Table 3a'!AJ59)</f>
        <v>0</v>
      </c>
      <c r="G58" s="647"/>
      <c r="H58" s="646">
        <f>IF('Table 3a'!AO59="","",'Table 3a'!AO59)</f>
        <v>0</v>
      </c>
      <c r="I58" s="646">
        <f>IF('Table 3a'!AU59="","",'Table 3a'!AU59)</f>
        <v>30200</v>
      </c>
      <c r="J58" s="646">
        <f>IF('Table 3a'!AX59="","",'Table 3a'!AX59)</f>
        <v>4315</v>
      </c>
      <c r="K58" s="646">
        <f>IF('Table 3a'!BC59="","",'Table 3a'!BC59)</f>
        <v>13268</v>
      </c>
      <c r="L58" s="646">
        <f>IF('Table 3a'!BI59="","",'Table 3a'!BI59)</f>
        <v>11420</v>
      </c>
      <c r="M58" s="646">
        <f>IF('Table 3a'!BN59="","",'Table 3a'!BN59)</f>
        <v>50366</v>
      </c>
      <c r="N58" s="646">
        <f>IF('Table 3a'!BT59="","",'Table 3a'!BT59)</f>
        <v>85861</v>
      </c>
      <c r="O58" s="646">
        <f>IF('Table 3a'!BW59="","",'Table 3a'!BW59)</f>
        <v>0</v>
      </c>
      <c r="P58" s="646">
        <f>IF('Table 3a'!BX59="","",'Table 3a'!BX59)</f>
        <v>0</v>
      </c>
      <c r="Q58" s="646">
        <f t="shared" si="36"/>
        <v>772167.1000000001</v>
      </c>
      <c r="R58" s="646">
        <f>IF('Table 3a'!AB59="","",'Table 3a'!AB59)</f>
        <v>266</v>
      </c>
      <c r="S58" s="646">
        <f t="shared" si="37"/>
        <v>2902.8838345864665</v>
      </c>
      <c r="T58" s="649" t="s">
        <v>642</v>
      </c>
      <c r="U58" s="649">
        <v>45046.79861456398</v>
      </c>
      <c r="V58" s="649">
        <v>6507</v>
      </c>
      <c r="W58" s="651"/>
      <c r="X58" s="649">
        <v>32818</v>
      </c>
      <c r="Y58" s="649">
        <v>0</v>
      </c>
      <c r="Z58" s="649">
        <v>0</v>
      </c>
      <c r="AA58" s="649">
        <v>0</v>
      </c>
      <c r="AB58" s="649">
        <v>0</v>
      </c>
      <c r="AC58" s="649">
        <f t="shared" si="38"/>
        <v>34515</v>
      </c>
      <c r="AD58" s="647"/>
      <c r="AE58" s="652"/>
      <c r="AF58" s="653"/>
      <c r="AG58" s="654"/>
      <c r="AH58" s="655"/>
      <c r="AI58" s="656"/>
      <c r="AJ58" s="657"/>
      <c r="AK58" s="658"/>
      <c r="AL58" s="658"/>
      <c r="AM58" s="658"/>
      <c r="AN58" s="657"/>
      <c r="AO58" s="658"/>
      <c r="AP58" s="658"/>
      <c r="AQ58" s="658"/>
      <c r="AR58" s="682"/>
      <c r="AS58" s="660">
        <f t="shared" si="39"/>
      </c>
      <c r="AT58" s="660">
        <f>IF(OR(OR(AND(C58="",D58&lt;&gt;""),AND(C58&lt;&gt;"",D58="")),AND(OR(SUM(Q58)&lt;&gt;0,SUM(R58)&lt;&gt;0,AND(U58&lt;&gt;"",U58&lt;&gt;0),AND(V58&lt;&gt;"",V58&lt;&gt;0),AND(W58&lt;&gt;"",W58&lt;&gt;0),AND(X58&lt;&gt;"",X58&lt;&gt;0),AND(Y58&lt;&gt;"",Y58&lt;&gt;0),AND(Z58&lt;&gt;"",Z58&lt;&gt;0),AND(AA58&lt;&gt;"",AA58&lt;&gt;0),AND(AB58&lt;&gt;"",AB58&lt;&gt;0),AND(AC58&lt;&gt;"",AC58&lt;&gt;0),AND(AD58&lt;&gt;"",AD58&lt;&gt;0),AE58&lt;&gt;"",AF58&lt;&gt;""),OR(C58="",D58=""))),"Error 2.11",IF(AND(C58&lt;&gt;"",ISNUMBER(D58)=FALSE),"Error 1.2",IF(AND(C58&lt;&gt;"",'Table 3a'!D59-INT('Table 3a'!D59)&lt;&gt;0),"Error 2.1",IF(AND(C58&lt;&gt;"",OR(D58&lt;2000,AND(D58&gt;3999,D58&lt;5200),AND(D58&gt;5299,D58&lt;5940),D58&gt;5949)),"Error 2.3",IF(AND(C58&lt;&gt;"",COUNTIF(startdfes:enddfes,D58)&gt;1),"Warning 1.2","")))))</f>
      </c>
      <c r="AU58" s="660">
        <f>IF(AND(OR(E58="",E58=0),C58="",D58=""),"",IF(AND(OR(C58&lt;&gt;"",D58&lt;&gt;""),E58=""),"Error 4.10.2",IF(AND(E58&lt;&gt;"",ISNUMBER(E58)=FALSE),"Error 1.2",IF(E58&lt;=0,"Error 1.4",IF('Table 3a'!AC59&lt;&gt;'Table 3a'!CA59,"Warning 2.7","")))))</f>
      </c>
      <c r="AV58" s="660">
        <f t="shared" si="40"/>
      </c>
      <c r="AW58" s="661"/>
      <c r="AX58" s="660">
        <f t="shared" si="41"/>
      </c>
      <c r="AY58" s="660">
        <f t="shared" si="42"/>
      </c>
      <c r="AZ58" s="660">
        <f t="shared" si="43"/>
      </c>
      <c r="BA58" s="660">
        <f t="shared" si="44"/>
      </c>
      <c r="BB58" s="660">
        <f t="shared" si="45"/>
      </c>
      <c r="BC58" s="660">
        <f t="shared" si="46"/>
      </c>
      <c r="BD58" s="660">
        <f t="shared" si="47"/>
      </c>
      <c r="BE58" s="660">
        <f t="shared" si="48"/>
      </c>
      <c r="BF58" s="660">
        <f t="shared" si="49"/>
      </c>
      <c r="BG58" s="660">
        <f>IF(AND(OR(Q58="",Q58=0),C58="",D58=""),"",IF(AND(OR(C58&lt;&gt;"",D58&lt;&gt;""),Q58=""),"Error 4.10.2",IF(AND(Q58&lt;&gt;"",ISNUMBER(Q58)=FALSE),"Error 1.2",IF(AND(OR(Q58&lt;10000,Q58&gt;10000000)),"Error 3.2.1",IF(ABS(('Table 3a'!BY59*2)-'Table 3a'!BZ59)&gt;50,"Error 3.7","")))))</f>
      </c>
      <c r="BH58" s="660">
        <f t="shared" si="50"/>
      </c>
      <c r="BI58" s="660">
        <f t="shared" si="51"/>
      </c>
      <c r="BJ58" s="660">
        <f t="shared" si="52"/>
      </c>
      <c r="BK58" s="660">
        <f t="shared" si="53"/>
      </c>
      <c r="BL58" s="660">
        <f t="shared" si="54"/>
      </c>
      <c r="BM58" s="663"/>
      <c r="BN58" s="660">
        <f t="shared" si="55"/>
      </c>
      <c r="BO58" s="660">
        <f t="shared" si="56"/>
      </c>
      <c r="BP58" s="660">
        <f t="shared" si="57"/>
      </c>
      <c r="BQ58" s="660">
        <f t="shared" si="58"/>
      </c>
      <c r="BR58" s="660">
        <f t="shared" si="59"/>
      </c>
      <c r="BS58" s="660">
        <f t="shared" si="60"/>
      </c>
      <c r="BT58" s="662"/>
      <c r="BU58" s="660">
        <f t="shared" si="61"/>
      </c>
      <c r="BV58" s="660">
        <f t="shared" si="62"/>
      </c>
      <c r="BW58" s="605">
        <f t="shared" si="63"/>
        <v>0</v>
      </c>
      <c r="BX58" s="660">
        <f t="shared" si="64"/>
      </c>
      <c r="BY58" s="664"/>
      <c r="BZ58" s="664"/>
      <c r="CA58" s="665"/>
      <c r="CB58" s="665"/>
      <c r="CC58" s="666"/>
      <c r="CD58" s="154"/>
      <c r="DG58" s="3"/>
    </row>
    <row r="59" spans="1:111" s="52" customFormat="1" ht="12.75">
      <c r="A59" s="681"/>
      <c r="B59" s="645">
        <f>IF('Table 3a'!B60="","",'Table 3a'!B60)</f>
        <v>67</v>
      </c>
      <c r="C59" s="644" t="str">
        <f>IF('Table 3a'!C60="","",'Table 3a'!C60)</f>
        <v>Yorkswood Primary School</v>
      </c>
      <c r="D59" s="645">
        <f>IF('Table 3a'!D60="","",'Table 3a'!D60)</f>
        <v>2088</v>
      </c>
      <c r="E59" s="646">
        <f>IF('Table 3a'!AC60="","",'Table 3a'!AC60)</f>
        <v>547303.7999999999</v>
      </c>
      <c r="F59" s="646">
        <f>IF('Table 3a'!AJ60="","",'Table 3a'!AJ60)</f>
        <v>92594</v>
      </c>
      <c r="G59" s="647"/>
      <c r="H59" s="646">
        <f>IF('Table 3a'!AO60="","",'Table 3a'!AO60)</f>
        <v>0</v>
      </c>
      <c r="I59" s="646">
        <f>IF('Table 3a'!AU60="","",'Table 3a'!AU60)</f>
        <v>69071</v>
      </c>
      <c r="J59" s="646">
        <f>IF('Table 3a'!AX60="","",'Table 3a'!AX60)</f>
        <v>5851</v>
      </c>
      <c r="K59" s="646">
        <f>IF('Table 3a'!BC60="","",'Table 3a'!BC60)</f>
        <v>40154</v>
      </c>
      <c r="L59" s="646">
        <f>IF('Table 3a'!BI60="","",'Table 3a'!BI60)</f>
        <v>47276</v>
      </c>
      <c r="M59" s="646">
        <f>IF('Table 3a'!BN60="","",'Table 3a'!BN60)</f>
        <v>70300</v>
      </c>
      <c r="N59" s="646">
        <f>IF('Table 3a'!BT60="","",'Table 3a'!BT60)</f>
        <v>85508</v>
      </c>
      <c r="O59" s="646">
        <f>IF('Table 3a'!BW60="","",'Table 3a'!BW60)</f>
        <v>0</v>
      </c>
      <c r="P59" s="646">
        <f>IF('Table 3a'!BX60="","",'Table 3a'!BX60)</f>
        <v>0</v>
      </c>
      <c r="Q59" s="646">
        <f t="shared" si="36"/>
        <v>958057.7999999999</v>
      </c>
      <c r="R59" s="646">
        <f>IF('Table 3a'!AB60="","",'Table 3a'!AB60)</f>
        <v>258</v>
      </c>
      <c r="S59" s="646">
        <f t="shared" si="37"/>
        <v>3713.402325581395</v>
      </c>
      <c r="T59" s="649" t="s">
        <v>642</v>
      </c>
      <c r="U59" s="649">
        <v>43063.60563035294</v>
      </c>
      <c r="V59" s="649">
        <v>10600</v>
      </c>
      <c r="W59" s="651"/>
      <c r="X59" s="649">
        <v>160053</v>
      </c>
      <c r="Y59" s="649">
        <v>0</v>
      </c>
      <c r="Z59" s="649">
        <v>0</v>
      </c>
      <c r="AA59" s="649">
        <v>0</v>
      </c>
      <c r="AB59" s="649">
        <v>0</v>
      </c>
      <c r="AC59" s="649">
        <f t="shared" si="38"/>
        <v>74922</v>
      </c>
      <c r="AD59" s="647"/>
      <c r="AE59" s="652"/>
      <c r="AF59" s="653"/>
      <c r="AG59" s="654"/>
      <c r="AH59" s="655"/>
      <c r="AI59" s="656"/>
      <c r="AJ59" s="657"/>
      <c r="AK59" s="658"/>
      <c r="AL59" s="658"/>
      <c r="AM59" s="658"/>
      <c r="AN59" s="657"/>
      <c r="AO59" s="658"/>
      <c r="AP59" s="658"/>
      <c r="AQ59" s="658"/>
      <c r="AR59" s="682"/>
      <c r="AS59" s="660">
        <f t="shared" si="39"/>
      </c>
      <c r="AT59" s="660">
        <f>IF(OR(OR(AND(C59="",D59&lt;&gt;""),AND(C59&lt;&gt;"",D59="")),AND(OR(SUM(Q59)&lt;&gt;0,SUM(R59)&lt;&gt;0,AND(U59&lt;&gt;"",U59&lt;&gt;0),AND(V59&lt;&gt;"",V59&lt;&gt;0),AND(W59&lt;&gt;"",W59&lt;&gt;0),AND(X59&lt;&gt;"",X59&lt;&gt;0),AND(Y59&lt;&gt;"",Y59&lt;&gt;0),AND(Z59&lt;&gt;"",Z59&lt;&gt;0),AND(AA59&lt;&gt;"",AA59&lt;&gt;0),AND(AB59&lt;&gt;"",AB59&lt;&gt;0),AND(AC59&lt;&gt;"",AC59&lt;&gt;0),AND(AD59&lt;&gt;"",AD59&lt;&gt;0),AE59&lt;&gt;"",AF59&lt;&gt;""),OR(C59="",D59=""))),"Error 2.11",IF(AND(C59&lt;&gt;"",ISNUMBER(D59)=FALSE),"Error 1.2",IF(AND(C59&lt;&gt;"",'Table 3a'!D60-INT('Table 3a'!D60)&lt;&gt;0),"Error 2.1",IF(AND(C59&lt;&gt;"",OR(D59&lt;2000,AND(D59&gt;3999,D59&lt;5200),AND(D59&gt;5299,D59&lt;5940),D59&gt;5949)),"Error 2.3",IF(AND(C59&lt;&gt;"",COUNTIF(startdfes:enddfes,D59)&gt;1),"Warning 1.2","")))))</f>
      </c>
      <c r="AU59" s="660">
        <f>IF(AND(OR(E59="",E59=0),C59="",D59=""),"",IF(AND(OR(C59&lt;&gt;"",D59&lt;&gt;""),E59=""),"Error 4.10.2",IF(AND(E59&lt;&gt;"",ISNUMBER(E59)=FALSE),"Error 1.2",IF(E59&lt;=0,"Error 1.4",IF('Table 3a'!AC60&lt;&gt;'Table 3a'!CA60,"Warning 2.7","")))))</f>
      </c>
      <c r="AV59" s="660">
        <f t="shared" si="40"/>
      </c>
      <c r="AW59" s="661"/>
      <c r="AX59" s="660">
        <f t="shared" si="41"/>
      </c>
      <c r="AY59" s="660">
        <f t="shared" si="42"/>
      </c>
      <c r="AZ59" s="660">
        <f t="shared" si="43"/>
      </c>
      <c r="BA59" s="660">
        <f t="shared" si="44"/>
      </c>
      <c r="BB59" s="660">
        <f t="shared" si="45"/>
      </c>
      <c r="BC59" s="660">
        <f t="shared" si="46"/>
      </c>
      <c r="BD59" s="660">
        <f t="shared" si="47"/>
      </c>
      <c r="BE59" s="660">
        <f t="shared" si="48"/>
      </c>
      <c r="BF59" s="660">
        <f t="shared" si="49"/>
      </c>
      <c r="BG59" s="660">
        <f>IF(AND(OR(Q59="",Q59=0),C59="",D59=""),"",IF(AND(OR(C59&lt;&gt;"",D59&lt;&gt;""),Q59=""),"Error 4.10.2",IF(AND(Q59&lt;&gt;"",ISNUMBER(Q59)=FALSE),"Error 1.2",IF(AND(OR(Q59&lt;10000,Q59&gt;10000000)),"Error 3.2.1",IF(ABS(('Table 3a'!BY60*2)-'Table 3a'!BZ60)&gt;50,"Error 3.7","")))))</f>
      </c>
      <c r="BH59" s="660">
        <f t="shared" si="50"/>
      </c>
      <c r="BI59" s="660">
        <f t="shared" si="51"/>
      </c>
      <c r="BJ59" s="660">
        <f t="shared" si="52"/>
      </c>
      <c r="BK59" s="660">
        <f t="shared" si="53"/>
      </c>
      <c r="BL59" s="660">
        <f t="shared" si="54"/>
      </c>
      <c r="BM59" s="663"/>
      <c r="BN59" s="660">
        <f t="shared" si="55"/>
      </c>
      <c r="BO59" s="660">
        <f t="shared" si="56"/>
      </c>
      <c r="BP59" s="660">
        <f t="shared" si="57"/>
      </c>
      <c r="BQ59" s="660">
        <f t="shared" si="58"/>
      </c>
      <c r="BR59" s="660">
        <f t="shared" si="59"/>
      </c>
      <c r="BS59" s="660">
        <f t="shared" si="60"/>
      </c>
      <c r="BT59" s="662"/>
      <c r="BU59" s="660">
        <f t="shared" si="61"/>
      </c>
      <c r="BV59" s="660">
        <f t="shared" si="62"/>
      </c>
      <c r="BW59" s="605">
        <f t="shared" si="63"/>
        <v>0</v>
      </c>
      <c r="BX59" s="660">
        <f t="shared" si="64"/>
      </c>
      <c r="BY59" s="664"/>
      <c r="BZ59" s="664"/>
      <c r="CA59" s="665"/>
      <c r="CB59" s="665"/>
      <c r="CC59" s="666"/>
      <c r="CD59" s="154"/>
      <c r="DG59" s="3"/>
    </row>
    <row r="60" spans="1:111" s="52" customFormat="1" ht="12.75">
      <c r="A60" s="681"/>
      <c r="B60" s="645">
        <f>IF('Table 3a'!B61="","",'Table 3a'!B61)</f>
        <v>61</v>
      </c>
      <c r="C60" s="644" t="str">
        <f>IF('Table 3a'!C61="","",'Table 3a'!C61)</f>
        <v>Ulverley School</v>
      </c>
      <c r="D60" s="645">
        <f>IF('Table 3a'!D61="","",'Table 3a'!D61)</f>
        <v>2089</v>
      </c>
      <c r="E60" s="646">
        <f>IF('Table 3a'!AC61="","",'Table 3a'!AC61)</f>
        <v>845717.3400000001</v>
      </c>
      <c r="F60" s="646">
        <f>IF('Table 3a'!AJ61="","",'Table 3a'!AJ61)</f>
        <v>66634</v>
      </c>
      <c r="G60" s="647"/>
      <c r="H60" s="646">
        <f>IF('Table 3a'!AO61="","",'Table 3a'!AO61)</f>
        <v>0</v>
      </c>
      <c r="I60" s="646">
        <f>IF('Table 3a'!AU61="","",'Table 3a'!AU61)</f>
        <v>236300</v>
      </c>
      <c r="J60" s="646">
        <f>IF('Table 3a'!AX61="","",'Table 3a'!AX61)</f>
        <v>15666</v>
      </c>
      <c r="K60" s="646">
        <f>IF('Table 3a'!BC61="","",'Table 3a'!BC61)</f>
        <v>29962</v>
      </c>
      <c r="L60" s="646">
        <f>IF('Table 3a'!BI61="","",'Table 3a'!BI61)</f>
        <v>23062</v>
      </c>
      <c r="M60" s="646">
        <f>IF('Table 3a'!BN61="","",'Table 3a'!BN61)</f>
        <v>93015</v>
      </c>
      <c r="N60" s="646">
        <f>IF('Table 3a'!BT61="","",'Table 3a'!BT61)</f>
        <v>92234</v>
      </c>
      <c r="O60" s="646">
        <f>IF('Table 3a'!BW61="","",'Table 3a'!BW61)</f>
        <v>0</v>
      </c>
      <c r="P60" s="646">
        <f>IF('Table 3a'!BX61="","",'Table 3a'!BX61)</f>
        <v>0</v>
      </c>
      <c r="Q60" s="646">
        <f t="shared" si="36"/>
        <v>1402590.34</v>
      </c>
      <c r="R60" s="646">
        <f>IF('Table 3a'!AB61="","",'Table 3a'!AB61)</f>
        <v>390.5</v>
      </c>
      <c r="S60" s="646">
        <f t="shared" si="37"/>
        <v>3591.780640204866</v>
      </c>
      <c r="T60" s="649" t="s">
        <v>642</v>
      </c>
      <c r="U60" s="649">
        <v>60337.96652629378</v>
      </c>
      <c r="V60" s="649">
        <v>10564</v>
      </c>
      <c r="W60" s="651"/>
      <c r="X60" s="649">
        <v>39494</v>
      </c>
      <c r="Y60" s="649">
        <v>0</v>
      </c>
      <c r="Z60" s="649">
        <v>0</v>
      </c>
      <c r="AA60" s="649">
        <v>0</v>
      </c>
      <c r="AB60" s="649">
        <v>0</v>
      </c>
      <c r="AC60" s="649">
        <f t="shared" si="38"/>
        <v>251966</v>
      </c>
      <c r="AD60" s="647"/>
      <c r="AE60" s="652"/>
      <c r="AF60" s="653"/>
      <c r="AG60" s="654"/>
      <c r="AH60" s="655"/>
      <c r="AI60" s="656"/>
      <c r="AJ60" s="657"/>
      <c r="AK60" s="658"/>
      <c r="AL60" s="658"/>
      <c r="AM60" s="658"/>
      <c r="AN60" s="657"/>
      <c r="AO60" s="658"/>
      <c r="AP60" s="658"/>
      <c r="AQ60" s="658"/>
      <c r="AR60" s="682"/>
      <c r="AS60" s="660">
        <f t="shared" si="39"/>
      </c>
      <c r="AT60" s="660">
        <f>IF(OR(OR(AND(C60="",D60&lt;&gt;""),AND(C60&lt;&gt;"",D60="")),AND(OR(SUM(Q60)&lt;&gt;0,SUM(R60)&lt;&gt;0,AND(U60&lt;&gt;"",U60&lt;&gt;0),AND(V60&lt;&gt;"",V60&lt;&gt;0),AND(W60&lt;&gt;"",W60&lt;&gt;0),AND(X60&lt;&gt;"",X60&lt;&gt;0),AND(Y60&lt;&gt;"",Y60&lt;&gt;0),AND(Z60&lt;&gt;"",Z60&lt;&gt;0),AND(AA60&lt;&gt;"",AA60&lt;&gt;0),AND(AB60&lt;&gt;"",AB60&lt;&gt;0),AND(AC60&lt;&gt;"",AC60&lt;&gt;0),AND(AD60&lt;&gt;"",AD60&lt;&gt;0),AE60&lt;&gt;"",AF60&lt;&gt;""),OR(C60="",D60=""))),"Error 2.11",IF(AND(C60&lt;&gt;"",ISNUMBER(D60)=FALSE),"Error 1.2",IF(AND(C60&lt;&gt;"",'Table 3a'!D61-INT('Table 3a'!D61)&lt;&gt;0),"Error 2.1",IF(AND(C60&lt;&gt;"",OR(D60&lt;2000,AND(D60&gt;3999,D60&lt;5200),AND(D60&gt;5299,D60&lt;5940),D60&gt;5949)),"Error 2.3",IF(AND(C60&lt;&gt;"",COUNTIF(startdfes:enddfes,D60)&gt;1),"Warning 1.2","")))))</f>
      </c>
      <c r="AU60" s="660">
        <f>IF(AND(OR(E60="",E60=0),C60="",D60=""),"",IF(AND(OR(C60&lt;&gt;"",D60&lt;&gt;""),E60=""),"Error 4.10.2",IF(AND(E60&lt;&gt;"",ISNUMBER(E60)=FALSE),"Error 1.2",IF(E60&lt;=0,"Error 1.4",IF('Table 3a'!AC61&lt;&gt;'Table 3a'!CA61,"Warning 2.7","")))))</f>
      </c>
      <c r="AV60" s="660">
        <f t="shared" si="40"/>
      </c>
      <c r="AW60" s="661"/>
      <c r="AX60" s="660">
        <f t="shared" si="41"/>
      </c>
      <c r="AY60" s="660">
        <f t="shared" si="42"/>
      </c>
      <c r="AZ60" s="660">
        <f t="shared" si="43"/>
      </c>
      <c r="BA60" s="660">
        <f t="shared" si="44"/>
      </c>
      <c r="BB60" s="660">
        <f t="shared" si="45"/>
      </c>
      <c r="BC60" s="660">
        <f t="shared" si="46"/>
      </c>
      <c r="BD60" s="660">
        <f t="shared" si="47"/>
      </c>
      <c r="BE60" s="660">
        <f t="shared" si="48"/>
      </c>
      <c r="BF60" s="660">
        <f t="shared" si="49"/>
      </c>
      <c r="BG60" s="660">
        <f>IF(AND(OR(Q60="",Q60=0),C60="",D60=""),"",IF(AND(OR(C60&lt;&gt;"",D60&lt;&gt;""),Q60=""),"Error 4.10.2",IF(AND(Q60&lt;&gt;"",ISNUMBER(Q60)=FALSE),"Error 1.2",IF(AND(OR(Q60&lt;10000,Q60&gt;10000000)),"Error 3.2.1",IF(ABS(('Table 3a'!BY61*2)-'Table 3a'!BZ61)&gt;50,"Error 3.7","")))))</f>
      </c>
      <c r="BH60" s="660">
        <f t="shared" si="50"/>
      </c>
      <c r="BI60" s="660">
        <f t="shared" si="51"/>
      </c>
      <c r="BJ60" s="660">
        <f t="shared" si="52"/>
      </c>
      <c r="BK60" s="660">
        <f t="shared" si="53"/>
      </c>
      <c r="BL60" s="660">
        <f t="shared" si="54"/>
      </c>
      <c r="BM60" s="663"/>
      <c r="BN60" s="660">
        <f t="shared" si="55"/>
      </c>
      <c r="BO60" s="660">
        <f t="shared" si="56"/>
      </c>
      <c r="BP60" s="660">
        <f t="shared" si="57"/>
      </c>
      <c r="BQ60" s="660">
        <f t="shared" si="58"/>
      </c>
      <c r="BR60" s="660">
        <f t="shared" si="59"/>
      </c>
      <c r="BS60" s="660">
        <f t="shared" si="60"/>
      </c>
      <c r="BT60" s="662"/>
      <c r="BU60" s="660">
        <f t="shared" si="61"/>
      </c>
      <c r="BV60" s="660">
        <f t="shared" si="62"/>
      </c>
      <c r="BW60" s="605">
        <f t="shared" si="63"/>
        <v>0</v>
      </c>
      <c r="BX60" s="660">
        <f t="shared" si="64"/>
      </c>
      <c r="BY60" s="664"/>
      <c r="BZ60" s="664"/>
      <c r="CA60" s="665"/>
      <c r="CB60" s="665"/>
      <c r="CC60" s="666"/>
      <c r="CD60" s="154"/>
      <c r="DG60" s="3"/>
    </row>
    <row r="61" spans="1:111" s="52" customFormat="1" ht="12.75">
      <c r="A61" s="681"/>
      <c r="B61" s="645">
        <f>IF('Table 3a'!B62="","",'Table 3a'!B62)</f>
        <v>23</v>
      </c>
      <c r="C61" s="644" t="str">
        <f>IF('Table 3a'!C62="","",'Table 3a'!C62)</f>
        <v>Greswold Primary School</v>
      </c>
      <c r="D61" s="645">
        <f>IF('Table 3a'!D62="","",'Table 3a'!D62)</f>
        <v>2090</v>
      </c>
      <c r="E61" s="646">
        <f>IF('Table 3a'!AC62="","",'Table 3a'!AC62)</f>
        <v>952016.7</v>
      </c>
      <c r="F61" s="646">
        <f>IF('Table 3a'!AJ62="","",'Table 3a'!AJ62)</f>
        <v>74268</v>
      </c>
      <c r="G61" s="647"/>
      <c r="H61" s="646">
        <f>IF('Table 3a'!AO62="","",'Table 3a'!AO62)</f>
        <v>0</v>
      </c>
      <c r="I61" s="646">
        <f>IF('Table 3a'!AU62="","",'Table 3a'!AU62)</f>
        <v>40249</v>
      </c>
      <c r="J61" s="646">
        <f>IF('Table 3a'!AX62="","",'Table 3a'!AX62)</f>
        <v>3265</v>
      </c>
      <c r="K61" s="646">
        <f>IF('Table 3a'!BC62="","",'Table 3a'!BC62)</f>
        <v>17935</v>
      </c>
      <c r="L61" s="646">
        <f>IF('Table 3a'!BI62="","",'Table 3a'!BI62)</f>
        <v>10093</v>
      </c>
      <c r="M61" s="646">
        <f>IF('Table 3a'!BN62="","",'Table 3a'!BN62)</f>
        <v>88774</v>
      </c>
      <c r="N61" s="646">
        <f>IF('Table 3a'!BT62="","",'Table 3a'!BT62)</f>
        <v>90882</v>
      </c>
      <c r="O61" s="646">
        <f>IF('Table 3a'!BW62="","",'Table 3a'!BW62)</f>
        <v>0</v>
      </c>
      <c r="P61" s="646">
        <f>IF('Table 3a'!BX62="","",'Table 3a'!BX62)</f>
        <v>0</v>
      </c>
      <c r="Q61" s="646">
        <f t="shared" si="36"/>
        <v>1277482.7</v>
      </c>
      <c r="R61" s="646">
        <f>IF('Table 3a'!AB62="","",'Table 3a'!AB62)</f>
        <v>448</v>
      </c>
      <c r="S61" s="646">
        <f t="shared" si="37"/>
        <v>2851.523883928571</v>
      </c>
      <c r="T61" s="649" t="s">
        <v>642</v>
      </c>
      <c r="U61" s="649">
        <v>66881.42607847619</v>
      </c>
      <c r="V61" s="649">
        <v>4848</v>
      </c>
      <c r="W61" s="651"/>
      <c r="X61" s="649">
        <v>31246</v>
      </c>
      <c r="Y61" s="649">
        <v>0</v>
      </c>
      <c r="Z61" s="649">
        <v>0</v>
      </c>
      <c r="AA61" s="649">
        <v>0</v>
      </c>
      <c r="AB61" s="649">
        <v>0</v>
      </c>
      <c r="AC61" s="649">
        <f t="shared" si="38"/>
        <v>43514</v>
      </c>
      <c r="AD61" s="647"/>
      <c r="AE61" s="652"/>
      <c r="AF61" s="653"/>
      <c r="AG61" s="654"/>
      <c r="AH61" s="655"/>
      <c r="AI61" s="656"/>
      <c r="AJ61" s="657"/>
      <c r="AK61" s="658"/>
      <c r="AL61" s="658"/>
      <c r="AM61" s="658"/>
      <c r="AN61" s="657"/>
      <c r="AO61" s="658"/>
      <c r="AP61" s="658"/>
      <c r="AQ61" s="658"/>
      <c r="AR61" s="682"/>
      <c r="AS61" s="660">
        <f t="shared" si="39"/>
      </c>
      <c r="AT61" s="660">
        <f>IF(OR(OR(AND(C61="",D61&lt;&gt;""),AND(C61&lt;&gt;"",D61="")),AND(OR(SUM(Q61)&lt;&gt;0,SUM(R61)&lt;&gt;0,AND(U61&lt;&gt;"",U61&lt;&gt;0),AND(V61&lt;&gt;"",V61&lt;&gt;0),AND(W61&lt;&gt;"",W61&lt;&gt;0),AND(X61&lt;&gt;"",X61&lt;&gt;0),AND(Y61&lt;&gt;"",Y61&lt;&gt;0),AND(Z61&lt;&gt;"",Z61&lt;&gt;0),AND(AA61&lt;&gt;"",AA61&lt;&gt;0),AND(AB61&lt;&gt;"",AB61&lt;&gt;0),AND(AC61&lt;&gt;"",AC61&lt;&gt;0),AND(AD61&lt;&gt;"",AD61&lt;&gt;0),AE61&lt;&gt;"",AF61&lt;&gt;""),OR(C61="",D61=""))),"Error 2.11",IF(AND(C61&lt;&gt;"",ISNUMBER(D61)=FALSE),"Error 1.2",IF(AND(C61&lt;&gt;"",'Table 3a'!D62-INT('Table 3a'!D62)&lt;&gt;0),"Error 2.1",IF(AND(C61&lt;&gt;"",OR(D61&lt;2000,AND(D61&gt;3999,D61&lt;5200),AND(D61&gt;5299,D61&lt;5940),D61&gt;5949)),"Error 2.3",IF(AND(C61&lt;&gt;"",COUNTIF(startdfes:enddfes,D61)&gt;1),"Warning 1.2","")))))</f>
      </c>
      <c r="AU61" s="660">
        <f>IF(AND(OR(E61="",E61=0),C61="",D61=""),"",IF(AND(OR(C61&lt;&gt;"",D61&lt;&gt;""),E61=""),"Error 4.10.2",IF(AND(E61&lt;&gt;"",ISNUMBER(E61)=FALSE),"Error 1.2",IF(E61&lt;=0,"Error 1.4",IF('Table 3a'!AC62&lt;&gt;'Table 3a'!CA62,"Warning 2.7","")))))</f>
      </c>
      <c r="AV61" s="660">
        <f t="shared" si="40"/>
      </c>
      <c r="AW61" s="661"/>
      <c r="AX61" s="660">
        <f t="shared" si="41"/>
      </c>
      <c r="AY61" s="660">
        <f t="shared" si="42"/>
      </c>
      <c r="AZ61" s="660">
        <f t="shared" si="43"/>
      </c>
      <c r="BA61" s="660">
        <f t="shared" si="44"/>
      </c>
      <c r="BB61" s="660">
        <f t="shared" si="45"/>
      </c>
      <c r="BC61" s="660">
        <f t="shared" si="46"/>
      </c>
      <c r="BD61" s="660">
        <f t="shared" si="47"/>
      </c>
      <c r="BE61" s="660">
        <f t="shared" si="48"/>
      </c>
      <c r="BF61" s="660">
        <f t="shared" si="49"/>
      </c>
      <c r="BG61" s="660">
        <f>IF(AND(OR(Q61="",Q61=0),C61="",D61=""),"",IF(AND(OR(C61&lt;&gt;"",D61&lt;&gt;""),Q61=""),"Error 4.10.2",IF(AND(Q61&lt;&gt;"",ISNUMBER(Q61)=FALSE),"Error 1.2",IF(AND(OR(Q61&lt;10000,Q61&gt;10000000)),"Error 3.2.1",IF(ABS(('Table 3a'!BY62*2)-'Table 3a'!BZ62)&gt;50,"Error 3.7","")))))</f>
      </c>
      <c r="BH61" s="660">
        <f t="shared" si="50"/>
      </c>
      <c r="BI61" s="660">
        <f t="shared" si="51"/>
      </c>
      <c r="BJ61" s="660">
        <f t="shared" si="52"/>
      </c>
      <c r="BK61" s="660">
        <f t="shared" si="53"/>
      </c>
      <c r="BL61" s="660">
        <f t="shared" si="54"/>
      </c>
      <c r="BM61" s="663"/>
      <c r="BN61" s="660">
        <f t="shared" si="55"/>
      </c>
      <c r="BO61" s="660">
        <f t="shared" si="56"/>
      </c>
      <c r="BP61" s="660">
        <f t="shared" si="57"/>
      </c>
      <c r="BQ61" s="660">
        <f t="shared" si="58"/>
      </c>
      <c r="BR61" s="660">
        <f t="shared" si="59"/>
      </c>
      <c r="BS61" s="660">
        <f t="shared" si="60"/>
      </c>
      <c r="BT61" s="662"/>
      <c r="BU61" s="660">
        <f t="shared" si="61"/>
      </c>
      <c r="BV61" s="660">
        <f t="shared" si="62"/>
      </c>
      <c r="BW61" s="605">
        <f t="shared" si="63"/>
        <v>0</v>
      </c>
      <c r="BX61" s="660">
        <f t="shared" si="64"/>
      </c>
      <c r="BY61" s="664"/>
      <c r="BZ61" s="664"/>
      <c r="CA61" s="665"/>
      <c r="CB61" s="665"/>
      <c r="CC61" s="666"/>
      <c r="CD61" s="154"/>
      <c r="DG61" s="3"/>
    </row>
    <row r="62" spans="1:111" s="52" customFormat="1" ht="12.75">
      <c r="A62" s="681"/>
      <c r="B62" s="645">
        <f>IF('Table 3a'!B63="","",'Table 3a'!B63)</f>
        <v>34</v>
      </c>
      <c r="C62" s="644" t="str">
        <f>IF('Table 3a'!C63="","",'Table 3a'!C63)</f>
        <v>Langley Primary School</v>
      </c>
      <c r="D62" s="645">
        <f>IF('Table 3a'!D63="","",'Table 3a'!D63)</f>
        <v>2091</v>
      </c>
      <c r="E62" s="646">
        <f>IF('Table 3a'!AC63="","",'Table 3a'!AC63)</f>
        <v>945193.1400000001</v>
      </c>
      <c r="F62" s="646">
        <f>IF('Table 3a'!AJ63="","",'Table 3a'!AJ63)</f>
        <v>54834</v>
      </c>
      <c r="G62" s="647"/>
      <c r="H62" s="646">
        <f>IF('Table 3a'!AO63="","",'Table 3a'!AO63)</f>
        <v>0</v>
      </c>
      <c r="I62" s="646">
        <f>IF('Table 3a'!AU63="","",'Table 3a'!AU63)</f>
        <v>82400</v>
      </c>
      <c r="J62" s="646">
        <f>IF('Table 3a'!AX63="","",'Table 3a'!AX63)</f>
        <v>3265</v>
      </c>
      <c r="K62" s="646">
        <f>IF('Table 3a'!BC63="","",'Table 3a'!BC63)</f>
        <v>35865</v>
      </c>
      <c r="L62" s="646">
        <f>IF('Table 3a'!BI63="","",'Table 3a'!BI63)</f>
        <v>22556</v>
      </c>
      <c r="M62" s="646">
        <f>IF('Table 3a'!BN63="","",'Table 3a'!BN63)</f>
        <v>86232</v>
      </c>
      <c r="N62" s="646">
        <f>IF('Table 3a'!BT63="","",'Table 3a'!BT63)</f>
        <v>91499</v>
      </c>
      <c r="O62" s="646">
        <f>IF('Table 3a'!BW63="","",'Table 3a'!BW63)</f>
        <v>0</v>
      </c>
      <c r="P62" s="646">
        <f>IF('Table 3a'!BX63="","",'Table 3a'!BX63)</f>
        <v>0</v>
      </c>
      <c r="Q62" s="646">
        <f t="shared" si="36"/>
        <v>1321844.1400000001</v>
      </c>
      <c r="R62" s="646">
        <f>IF('Table 3a'!AB63="","",'Table 3a'!AB63)</f>
        <v>442.5</v>
      </c>
      <c r="S62" s="646">
        <f t="shared" si="37"/>
        <v>2987.2183954802263</v>
      </c>
      <c r="T62" s="649" t="s">
        <v>642</v>
      </c>
      <c r="U62" s="649">
        <v>66894.92386387862</v>
      </c>
      <c r="V62" s="649">
        <v>15036</v>
      </c>
      <c r="W62" s="651"/>
      <c r="X62" s="649">
        <v>49899</v>
      </c>
      <c r="Y62" s="649">
        <v>0</v>
      </c>
      <c r="Z62" s="649">
        <v>0</v>
      </c>
      <c r="AA62" s="649">
        <v>0</v>
      </c>
      <c r="AB62" s="649">
        <v>0</v>
      </c>
      <c r="AC62" s="649">
        <f t="shared" si="38"/>
        <v>85665</v>
      </c>
      <c r="AD62" s="647"/>
      <c r="AE62" s="652"/>
      <c r="AF62" s="653"/>
      <c r="AG62" s="654"/>
      <c r="AH62" s="655"/>
      <c r="AI62" s="656"/>
      <c r="AJ62" s="657"/>
      <c r="AK62" s="658"/>
      <c r="AL62" s="658"/>
      <c r="AM62" s="658"/>
      <c r="AN62" s="657"/>
      <c r="AO62" s="658"/>
      <c r="AP62" s="658"/>
      <c r="AQ62" s="658"/>
      <c r="AR62" s="682"/>
      <c r="AS62" s="660">
        <f t="shared" si="39"/>
      </c>
      <c r="AT62" s="660">
        <f>IF(OR(OR(AND(C62="",D62&lt;&gt;""),AND(C62&lt;&gt;"",D62="")),AND(OR(SUM(Q62)&lt;&gt;0,SUM(R62)&lt;&gt;0,AND(U62&lt;&gt;"",U62&lt;&gt;0),AND(V62&lt;&gt;"",V62&lt;&gt;0),AND(W62&lt;&gt;"",W62&lt;&gt;0),AND(X62&lt;&gt;"",X62&lt;&gt;0),AND(Y62&lt;&gt;"",Y62&lt;&gt;0),AND(Z62&lt;&gt;"",Z62&lt;&gt;0),AND(AA62&lt;&gt;"",AA62&lt;&gt;0),AND(AB62&lt;&gt;"",AB62&lt;&gt;0),AND(AC62&lt;&gt;"",AC62&lt;&gt;0),AND(AD62&lt;&gt;"",AD62&lt;&gt;0),AE62&lt;&gt;"",AF62&lt;&gt;""),OR(C62="",D62=""))),"Error 2.11",IF(AND(C62&lt;&gt;"",ISNUMBER(D62)=FALSE),"Error 1.2",IF(AND(C62&lt;&gt;"",'Table 3a'!D63-INT('Table 3a'!D63)&lt;&gt;0),"Error 2.1",IF(AND(C62&lt;&gt;"",OR(D62&lt;2000,AND(D62&gt;3999,D62&lt;5200),AND(D62&gt;5299,D62&lt;5940),D62&gt;5949)),"Error 2.3",IF(AND(C62&lt;&gt;"",COUNTIF(startdfes:enddfes,D62)&gt;1),"Warning 1.2","")))))</f>
      </c>
      <c r="AU62" s="660">
        <f>IF(AND(OR(E62="",E62=0),C62="",D62=""),"",IF(AND(OR(C62&lt;&gt;"",D62&lt;&gt;""),E62=""),"Error 4.10.2",IF(AND(E62&lt;&gt;"",ISNUMBER(E62)=FALSE),"Error 1.2",IF(E62&lt;=0,"Error 1.4",IF('Table 3a'!AC63&lt;&gt;'Table 3a'!CA63,"Warning 2.7","")))))</f>
      </c>
      <c r="AV62" s="660">
        <f t="shared" si="40"/>
      </c>
      <c r="AW62" s="661"/>
      <c r="AX62" s="660">
        <f t="shared" si="41"/>
      </c>
      <c r="AY62" s="660">
        <f t="shared" si="42"/>
      </c>
      <c r="AZ62" s="660">
        <f t="shared" si="43"/>
      </c>
      <c r="BA62" s="660">
        <f t="shared" si="44"/>
      </c>
      <c r="BB62" s="660">
        <f t="shared" si="45"/>
      </c>
      <c r="BC62" s="660">
        <f t="shared" si="46"/>
      </c>
      <c r="BD62" s="660">
        <f t="shared" si="47"/>
      </c>
      <c r="BE62" s="660">
        <f t="shared" si="48"/>
      </c>
      <c r="BF62" s="660">
        <f t="shared" si="49"/>
      </c>
      <c r="BG62" s="660">
        <f>IF(AND(OR(Q62="",Q62=0),C62="",D62=""),"",IF(AND(OR(C62&lt;&gt;"",D62&lt;&gt;""),Q62=""),"Error 4.10.2",IF(AND(Q62&lt;&gt;"",ISNUMBER(Q62)=FALSE),"Error 1.2",IF(AND(OR(Q62&lt;10000,Q62&gt;10000000)),"Error 3.2.1",IF(ABS(('Table 3a'!BY63*2)-'Table 3a'!BZ63)&gt;50,"Error 3.7","")))))</f>
      </c>
      <c r="BH62" s="660">
        <f t="shared" si="50"/>
      </c>
      <c r="BI62" s="660">
        <f t="shared" si="51"/>
      </c>
      <c r="BJ62" s="660">
        <f t="shared" si="52"/>
      </c>
      <c r="BK62" s="660">
        <f t="shared" si="53"/>
      </c>
      <c r="BL62" s="660">
        <f t="shared" si="54"/>
      </c>
      <c r="BM62" s="663"/>
      <c r="BN62" s="660">
        <f t="shared" si="55"/>
      </c>
      <c r="BO62" s="660">
        <f t="shared" si="56"/>
      </c>
      <c r="BP62" s="660">
        <f t="shared" si="57"/>
      </c>
      <c r="BQ62" s="660">
        <f t="shared" si="58"/>
      </c>
      <c r="BR62" s="660">
        <f t="shared" si="59"/>
      </c>
      <c r="BS62" s="660">
        <f t="shared" si="60"/>
      </c>
      <c r="BT62" s="662"/>
      <c r="BU62" s="660">
        <f t="shared" si="61"/>
      </c>
      <c r="BV62" s="660">
        <f t="shared" si="62"/>
      </c>
      <c r="BW62" s="605">
        <f t="shared" si="63"/>
        <v>0</v>
      </c>
      <c r="BX62" s="660">
        <f t="shared" si="64"/>
      </c>
      <c r="BY62" s="664"/>
      <c r="BZ62" s="664"/>
      <c r="CA62" s="665"/>
      <c r="CB62" s="665"/>
      <c r="CC62" s="666"/>
      <c r="CD62" s="154"/>
      <c r="DG62" s="3"/>
    </row>
    <row r="63" spans="1:111" s="52" customFormat="1" ht="12.75">
      <c r="A63" s="681"/>
      <c r="B63" s="645">
        <f>IF('Table 3a'!B64="","",'Table 3a'!B64)</f>
        <v>8</v>
      </c>
      <c r="C63" s="644" t="str">
        <f>IF('Table 3a'!C64="","",'Table 3a'!C64)</f>
        <v>Bosworth Wood Primary School</v>
      </c>
      <c r="D63" s="645">
        <f>IF('Table 3a'!D64="","",'Table 3a'!D64)</f>
        <v>2094</v>
      </c>
      <c r="E63" s="646">
        <f>IF('Table 3a'!AC64="","",'Table 3a'!AC64)</f>
        <v>894260.44</v>
      </c>
      <c r="F63" s="646">
        <f>IF('Table 3a'!AJ64="","",'Table 3a'!AJ64)</f>
        <v>91968</v>
      </c>
      <c r="G63" s="647"/>
      <c r="H63" s="646">
        <f>IF('Table 3a'!AO64="","",'Table 3a'!AO64)</f>
        <v>0</v>
      </c>
      <c r="I63" s="646">
        <f>IF('Table 3a'!AU64="","",'Table 3a'!AU64)</f>
        <v>134998</v>
      </c>
      <c r="J63" s="646">
        <f>IF('Table 3a'!AX64="","",'Table 3a'!AX64)</f>
        <v>3265</v>
      </c>
      <c r="K63" s="646">
        <f>IF('Table 3a'!BC64="","",'Table 3a'!BC64)</f>
        <v>74977</v>
      </c>
      <c r="L63" s="646">
        <f>IF('Table 3a'!BI64="","",'Table 3a'!BI64)</f>
        <v>70848</v>
      </c>
      <c r="M63" s="646">
        <f>IF('Table 3a'!BN64="","",'Table 3a'!BN64)</f>
        <v>91884</v>
      </c>
      <c r="N63" s="646">
        <f>IF('Table 3a'!BT64="","",'Table 3a'!BT64)</f>
        <v>81170</v>
      </c>
      <c r="O63" s="646">
        <f>IF('Table 3a'!BW64="","",'Table 3a'!BW64)</f>
        <v>0</v>
      </c>
      <c r="P63" s="646">
        <f>IF('Table 3a'!BX64="","",'Table 3a'!BX64)</f>
        <v>0</v>
      </c>
      <c r="Q63" s="646">
        <f t="shared" si="36"/>
        <v>1443370.44</v>
      </c>
      <c r="R63" s="646">
        <f>IF('Table 3a'!AB64="","",'Table 3a'!AB64)</f>
        <v>422.5</v>
      </c>
      <c r="S63" s="646">
        <f t="shared" si="37"/>
        <v>3416.261396449704</v>
      </c>
      <c r="T63" s="649" t="s">
        <v>642</v>
      </c>
      <c r="U63" s="649">
        <v>71122.54093749999</v>
      </c>
      <c r="V63" s="649">
        <v>20387</v>
      </c>
      <c r="W63" s="651"/>
      <c r="X63" s="649">
        <v>205654</v>
      </c>
      <c r="Y63" s="649">
        <v>0</v>
      </c>
      <c r="Z63" s="649">
        <v>0</v>
      </c>
      <c r="AA63" s="649">
        <v>0</v>
      </c>
      <c r="AB63" s="649">
        <v>0</v>
      </c>
      <c r="AC63" s="649">
        <f t="shared" si="38"/>
        <v>138263</v>
      </c>
      <c r="AD63" s="647"/>
      <c r="AE63" s="652"/>
      <c r="AF63" s="653"/>
      <c r="AG63" s="654"/>
      <c r="AH63" s="655"/>
      <c r="AI63" s="656"/>
      <c r="AJ63" s="657"/>
      <c r="AK63" s="658"/>
      <c r="AL63" s="658"/>
      <c r="AM63" s="658"/>
      <c r="AN63" s="657"/>
      <c r="AO63" s="658"/>
      <c r="AP63" s="658"/>
      <c r="AQ63" s="658"/>
      <c r="AR63" s="682"/>
      <c r="AS63" s="660">
        <f t="shared" si="39"/>
      </c>
      <c r="AT63" s="660">
        <f>IF(OR(OR(AND(C63="",D63&lt;&gt;""),AND(C63&lt;&gt;"",D63="")),AND(OR(SUM(Q63)&lt;&gt;0,SUM(R63)&lt;&gt;0,AND(U63&lt;&gt;"",U63&lt;&gt;0),AND(V63&lt;&gt;"",V63&lt;&gt;0),AND(W63&lt;&gt;"",W63&lt;&gt;0),AND(X63&lt;&gt;"",X63&lt;&gt;0),AND(Y63&lt;&gt;"",Y63&lt;&gt;0),AND(Z63&lt;&gt;"",Z63&lt;&gt;0),AND(AA63&lt;&gt;"",AA63&lt;&gt;0),AND(AB63&lt;&gt;"",AB63&lt;&gt;0),AND(AC63&lt;&gt;"",AC63&lt;&gt;0),AND(AD63&lt;&gt;"",AD63&lt;&gt;0),AE63&lt;&gt;"",AF63&lt;&gt;""),OR(C63="",D63=""))),"Error 2.11",IF(AND(C63&lt;&gt;"",ISNUMBER(D63)=FALSE),"Error 1.2",IF(AND(C63&lt;&gt;"",'Table 3a'!D64-INT('Table 3a'!D64)&lt;&gt;0),"Error 2.1",IF(AND(C63&lt;&gt;"",OR(D63&lt;2000,AND(D63&gt;3999,D63&lt;5200),AND(D63&gt;5299,D63&lt;5940),D63&gt;5949)),"Error 2.3",IF(AND(C63&lt;&gt;"",COUNTIF(startdfes:enddfes,D63)&gt;1),"Warning 1.2","")))))</f>
      </c>
      <c r="AU63" s="660">
        <f>IF(AND(OR(E63="",E63=0),C63="",D63=""),"",IF(AND(OR(C63&lt;&gt;"",D63&lt;&gt;""),E63=""),"Error 4.10.2",IF(AND(E63&lt;&gt;"",ISNUMBER(E63)=FALSE),"Error 1.2",IF(E63&lt;=0,"Error 1.4",IF('Table 3a'!AC64&lt;&gt;'Table 3a'!CA64,"Warning 2.7","")))))</f>
      </c>
      <c r="AV63" s="660">
        <f t="shared" si="40"/>
      </c>
      <c r="AW63" s="661"/>
      <c r="AX63" s="660">
        <f t="shared" si="41"/>
      </c>
      <c r="AY63" s="660">
        <f t="shared" si="42"/>
      </c>
      <c r="AZ63" s="660">
        <f t="shared" si="43"/>
      </c>
      <c r="BA63" s="660">
        <f t="shared" si="44"/>
      </c>
      <c r="BB63" s="660">
        <f t="shared" si="45"/>
      </c>
      <c r="BC63" s="660">
        <f t="shared" si="46"/>
      </c>
      <c r="BD63" s="660">
        <f t="shared" si="47"/>
      </c>
      <c r="BE63" s="660">
        <f t="shared" si="48"/>
      </c>
      <c r="BF63" s="660">
        <f t="shared" si="49"/>
      </c>
      <c r="BG63" s="660">
        <f>IF(AND(OR(Q63="",Q63=0),C63="",D63=""),"",IF(AND(OR(C63&lt;&gt;"",D63&lt;&gt;""),Q63=""),"Error 4.10.2",IF(AND(Q63&lt;&gt;"",ISNUMBER(Q63)=FALSE),"Error 1.2",IF(AND(OR(Q63&lt;10000,Q63&gt;10000000)),"Error 3.2.1",IF(ABS(('Table 3a'!BY64*2)-'Table 3a'!BZ64)&gt;50,"Error 3.7","")))))</f>
      </c>
      <c r="BH63" s="660">
        <f t="shared" si="50"/>
      </c>
      <c r="BI63" s="660">
        <f t="shared" si="51"/>
      </c>
      <c r="BJ63" s="660">
        <f t="shared" si="52"/>
      </c>
      <c r="BK63" s="660">
        <f t="shared" si="53"/>
      </c>
      <c r="BL63" s="660">
        <f t="shared" si="54"/>
      </c>
      <c r="BM63" s="663"/>
      <c r="BN63" s="660">
        <f t="shared" si="55"/>
      </c>
      <c r="BO63" s="660">
        <f t="shared" si="56"/>
      </c>
      <c r="BP63" s="660">
        <f t="shared" si="57"/>
      </c>
      <c r="BQ63" s="660">
        <f t="shared" si="58"/>
      </c>
      <c r="BR63" s="660">
        <f t="shared" si="59"/>
      </c>
      <c r="BS63" s="660">
        <f t="shared" si="60"/>
      </c>
      <c r="BT63" s="662"/>
      <c r="BU63" s="660">
        <f t="shared" si="61"/>
      </c>
      <c r="BV63" s="660">
        <f t="shared" si="62"/>
      </c>
      <c r="BW63" s="605">
        <f t="shared" si="63"/>
        <v>0</v>
      </c>
      <c r="BX63" s="660">
        <f t="shared" si="64"/>
      </c>
      <c r="BY63" s="664"/>
      <c r="BZ63" s="664"/>
      <c r="CA63" s="665"/>
      <c r="CB63" s="665"/>
      <c r="CC63" s="666"/>
      <c r="CD63" s="154"/>
      <c r="DG63" s="3"/>
    </row>
    <row r="64" spans="1:111" s="52" customFormat="1" ht="12.75">
      <c r="A64" s="681"/>
      <c r="B64" s="645">
        <f>IF('Table 3a'!B65="","",'Table 3a'!B65)</f>
        <v>39</v>
      </c>
      <c r="C64" s="644" t="str">
        <f>IF('Table 3a'!C65="","",'Table 3a'!C65)</f>
        <v>Monkspath Junior and Infant School</v>
      </c>
      <c r="D64" s="645">
        <f>IF('Table 3a'!D65="","",'Table 3a'!D65)</f>
        <v>2096</v>
      </c>
      <c r="E64" s="646">
        <f>IF('Table 3a'!AC65="","",'Table 3a'!AC65)</f>
        <v>1193796.7200000002</v>
      </c>
      <c r="F64" s="646">
        <f>IF('Table 3a'!AJ65="","",'Table 3a'!AJ65)</f>
        <v>77531</v>
      </c>
      <c r="G64" s="647"/>
      <c r="H64" s="646">
        <f>IF('Table 3a'!AO65="","",'Table 3a'!AO65)</f>
        <v>0</v>
      </c>
      <c r="I64" s="646">
        <f>IF('Table 3a'!AU65="","",'Table 3a'!AU65)</f>
        <v>56513</v>
      </c>
      <c r="J64" s="646">
        <f>IF('Table 3a'!AX65="","",'Table 3a'!AX65)</f>
        <v>3265</v>
      </c>
      <c r="K64" s="646">
        <f>IF('Table 3a'!BC65="","",'Table 3a'!BC65)</f>
        <v>23744</v>
      </c>
      <c r="L64" s="646">
        <f>IF('Table 3a'!BI65="","",'Table 3a'!BI65)</f>
        <v>9872</v>
      </c>
      <c r="M64" s="646">
        <f>IF('Table 3a'!BN65="","",'Table 3a'!BN65)</f>
        <v>108957</v>
      </c>
      <c r="N64" s="646">
        <f>IF('Table 3a'!BT65="","",'Table 3a'!BT65)</f>
        <v>90962</v>
      </c>
      <c r="O64" s="646">
        <f>IF('Table 3a'!BW65="","",'Table 3a'!BW65)</f>
        <v>0</v>
      </c>
      <c r="P64" s="646">
        <f>IF('Table 3a'!BX65="","",'Table 3a'!BX65)</f>
        <v>0</v>
      </c>
      <c r="Q64" s="646">
        <f t="shared" si="36"/>
        <v>1564640.7200000002</v>
      </c>
      <c r="R64" s="646">
        <f>IF('Table 3a'!AB65="","",'Table 3a'!AB65)</f>
        <v>555</v>
      </c>
      <c r="S64" s="646">
        <f t="shared" si="37"/>
        <v>2819.1724684684687</v>
      </c>
      <c r="T64" s="649" t="s">
        <v>642</v>
      </c>
      <c r="U64" s="649">
        <v>78979.79781563746</v>
      </c>
      <c r="V64" s="649">
        <v>6037</v>
      </c>
      <c r="W64" s="651"/>
      <c r="X64" s="649">
        <v>36398</v>
      </c>
      <c r="Y64" s="649">
        <v>0</v>
      </c>
      <c r="Z64" s="649">
        <v>0</v>
      </c>
      <c r="AA64" s="649">
        <v>0</v>
      </c>
      <c r="AB64" s="649">
        <v>0</v>
      </c>
      <c r="AC64" s="649">
        <f t="shared" si="38"/>
        <v>59778</v>
      </c>
      <c r="AD64" s="647"/>
      <c r="AE64" s="652"/>
      <c r="AF64" s="653"/>
      <c r="AG64" s="654"/>
      <c r="AH64" s="655"/>
      <c r="AI64" s="656"/>
      <c r="AJ64" s="657"/>
      <c r="AK64" s="658"/>
      <c r="AL64" s="658"/>
      <c r="AM64" s="658"/>
      <c r="AN64" s="657"/>
      <c r="AO64" s="658"/>
      <c r="AP64" s="658"/>
      <c r="AQ64" s="658"/>
      <c r="AR64" s="682"/>
      <c r="AS64" s="660">
        <f t="shared" si="39"/>
      </c>
      <c r="AT64" s="660">
        <f>IF(OR(OR(AND(C64="",D64&lt;&gt;""),AND(C64&lt;&gt;"",D64="")),AND(OR(SUM(Q64)&lt;&gt;0,SUM(R64)&lt;&gt;0,AND(U64&lt;&gt;"",U64&lt;&gt;0),AND(V64&lt;&gt;"",V64&lt;&gt;0),AND(W64&lt;&gt;"",W64&lt;&gt;0),AND(X64&lt;&gt;"",X64&lt;&gt;0),AND(Y64&lt;&gt;"",Y64&lt;&gt;0),AND(Z64&lt;&gt;"",Z64&lt;&gt;0),AND(AA64&lt;&gt;"",AA64&lt;&gt;0),AND(AB64&lt;&gt;"",AB64&lt;&gt;0),AND(AC64&lt;&gt;"",AC64&lt;&gt;0),AND(AD64&lt;&gt;"",AD64&lt;&gt;0),AE64&lt;&gt;"",AF64&lt;&gt;""),OR(C64="",D64=""))),"Error 2.11",IF(AND(C64&lt;&gt;"",ISNUMBER(D64)=FALSE),"Error 1.2",IF(AND(C64&lt;&gt;"",'Table 3a'!D65-INT('Table 3a'!D65)&lt;&gt;0),"Error 2.1",IF(AND(C64&lt;&gt;"",OR(D64&lt;2000,AND(D64&gt;3999,D64&lt;5200),AND(D64&gt;5299,D64&lt;5940),D64&gt;5949)),"Error 2.3",IF(AND(C64&lt;&gt;"",COUNTIF(startdfes:enddfes,D64)&gt;1),"Warning 1.2","")))))</f>
      </c>
      <c r="AU64" s="660">
        <f>IF(AND(OR(E64="",E64=0),C64="",D64=""),"",IF(AND(OR(C64&lt;&gt;"",D64&lt;&gt;""),E64=""),"Error 4.10.2",IF(AND(E64&lt;&gt;"",ISNUMBER(E64)=FALSE),"Error 1.2",IF(E64&lt;=0,"Error 1.4",IF('Table 3a'!AC65&lt;&gt;'Table 3a'!CA65,"Warning 2.7","")))))</f>
      </c>
      <c r="AV64" s="660">
        <f t="shared" si="40"/>
      </c>
      <c r="AW64" s="661"/>
      <c r="AX64" s="660">
        <f t="shared" si="41"/>
      </c>
      <c r="AY64" s="660">
        <f t="shared" si="42"/>
      </c>
      <c r="AZ64" s="660">
        <f t="shared" si="43"/>
      </c>
      <c r="BA64" s="660">
        <f t="shared" si="44"/>
      </c>
      <c r="BB64" s="660">
        <f t="shared" si="45"/>
      </c>
      <c r="BC64" s="660">
        <f t="shared" si="46"/>
      </c>
      <c r="BD64" s="660">
        <f t="shared" si="47"/>
      </c>
      <c r="BE64" s="660">
        <f t="shared" si="48"/>
      </c>
      <c r="BF64" s="660">
        <f t="shared" si="49"/>
      </c>
      <c r="BG64" s="660">
        <f>IF(AND(OR(Q64="",Q64=0),C64="",D64=""),"",IF(AND(OR(C64&lt;&gt;"",D64&lt;&gt;""),Q64=""),"Error 4.10.2",IF(AND(Q64&lt;&gt;"",ISNUMBER(Q64)=FALSE),"Error 1.2",IF(AND(OR(Q64&lt;10000,Q64&gt;10000000)),"Error 3.2.1",IF(ABS(('Table 3a'!BY65*2)-'Table 3a'!BZ65)&gt;50,"Error 3.7","")))))</f>
      </c>
      <c r="BH64" s="660">
        <f t="shared" si="50"/>
      </c>
      <c r="BI64" s="660">
        <f t="shared" si="51"/>
      </c>
      <c r="BJ64" s="660">
        <f t="shared" si="52"/>
      </c>
      <c r="BK64" s="660">
        <f t="shared" si="53"/>
      </c>
      <c r="BL64" s="660">
        <f t="shared" si="54"/>
      </c>
      <c r="BM64" s="663"/>
      <c r="BN64" s="660">
        <f t="shared" si="55"/>
      </c>
      <c r="BO64" s="660">
        <f t="shared" si="56"/>
      </c>
      <c r="BP64" s="660">
        <f t="shared" si="57"/>
      </c>
      <c r="BQ64" s="660">
        <f t="shared" si="58"/>
      </c>
      <c r="BR64" s="660">
        <f t="shared" si="59"/>
      </c>
      <c r="BS64" s="660">
        <f t="shared" si="60"/>
      </c>
      <c r="BT64" s="662"/>
      <c r="BU64" s="660">
        <f t="shared" si="61"/>
      </c>
      <c r="BV64" s="660">
        <f t="shared" si="62"/>
      </c>
      <c r="BW64" s="605">
        <f t="shared" si="63"/>
        <v>0</v>
      </c>
      <c r="BX64" s="660">
        <f t="shared" si="64"/>
      </c>
      <c r="BY64" s="664"/>
      <c r="BZ64" s="664"/>
      <c r="CA64" s="665"/>
      <c r="CB64" s="665"/>
      <c r="CC64" s="666"/>
      <c r="CD64" s="154"/>
      <c r="DG64" s="3"/>
    </row>
    <row r="65" spans="1:111" s="52" customFormat="1" ht="12.75">
      <c r="A65" s="681"/>
      <c r="B65" s="645">
        <f>IF('Table 3a'!B66="","",'Table 3a'!B66)</f>
        <v>19</v>
      </c>
      <c r="C65" s="644" t="str">
        <f>IF('Table 3a'!C66="","",'Table 3a'!C66)</f>
        <v>Dickens Heath Community Primary School</v>
      </c>
      <c r="D65" s="645">
        <f>IF('Table 3a'!D66="","",'Table 3a'!D66)</f>
        <v>2098</v>
      </c>
      <c r="E65" s="646">
        <f>IF('Table 3a'!AC66="","",'Table 3a'!AC66)</f>
        <v>636908.76</v>
      </c>
      <c r="F65" s="646">
        <f>IF('Table 3a'!AJ66="","",'Table 3a'!AJ66)</f>
        <v>77254</v>
      </c>
      <c r="G65" s="647"/>
      <c r="H65" s="646">
        <f>IF('Table 3a'!AO66="","",'Table 3a'!AO66)</f>
        <v>0</v>
      </c>
      <c r="I65" s="646">
        <f>IF('Table 3a'!AU66="","",'Table 3a'!AU66)</f>
        <v>24902</v>
      </c>
      <c r="J65" s="646">
        <f>IF('Table 3a'!AX66="","",'Table 3a'!AX66)</f>
        <v>13587</v>
      </c>
      <c r="K65" s="646">
        <f>IF('Table 3a'!BC66="","",'Table 3a'!BC66)</f>
        <v>5147</v>
      </c>
      <c r="L65" s="646">
        <f>IF('Table 3a'!BI66="","",'Table 3a'!BI66)</f>
        <v>3904</v>
      </c>
      <c r="M65" s="646">
        <f>IF('Table 3a'!BN66="","",'Table 3a'!BN66)</f>
        <v>83229</v>
      </c>
      <c r="N65" s="646">
        <f>IF('Table 3a'!BT66="","",'Table 3a'!BT66)</f>
        <v>145281</v>
      </c>
      <c r="O65" s="646">
        <f>IF('Table 3a'!BW66="","",'Table 3a'!BW66)</f>
        <v>0</v>
      </c>
      <c r="P65" s="646">
        <f>IF('Table 3a'!BX66="","",'Table 3a'!BX66)</f>
        <v>0</v>
      </c>
      <c r="Q65" s="646">
        <f t="shared" si="36"/>
        <v>990212.76</v>
      </c>
      <c r="R65" s="646">
        <f>IF('Table 3a'!AB66="","",'Table 3a'!AB66)</f>
        <v>301</v>
      </c>
      <c r="S65" s="646">
        <f t="shared" si="37"/>
        <v>3289.743388704319</v>
      </c>
      <c r="T65" s="649" t="s">
        <v>642</v>
      </c>
      <c r="U65" s="649">
        <v>67372.23212129998</v>
      </c>
      <c r="V65" s="649">
        <v>12240</v>
      </c>
      <c r="W65" s="651"/>
      <c r="X65" s="649">
        <v>43894</v>
      </c>
      <c r="Y65" s="649">
        <v>0</v>
      </c>
      <c r="Z65" s="649">
        <v>0</v>
      </c>
      <c r="AA65" s="649">
        <v>0</v>
      </c>
      <c r="AB65" s="649">
        <v>0</v>
      </c>
      <c r="AC65" s="649">
        <f t="shared" si="38"/>
        <v>38489</v>
      </c>
      <c r="AD65" s="647"/>
      <c r="AE65" s="652"/>
      <c r="AF65" s="653"/>
      <c r="AG65" s="654"/>
      <c r="AH65" s="655"/>
      <c r="AI65" s="656"/>
      <c r="AJ65" s="657"/>
      <c r="AK65" s="658"/>
      <c r="AL65" s="658"/>
      <c r="AM65" s="658"/>
      <c r="AN65" s="657"/>
      <c r="AO65" s="658"/>
      <c r="AP65" s="658"/>
      <c r="AQ65" s="658"/>
      <c r="AR65" s="682"/>
      <c r="AS65" s="660">
        <f t="shared" si="39"/>
      </c>
      <c r="AT65" s="660">
        <f>IF(OR(OR(AND(C65="",D65&lt;&gt;""),AND(C65&lt;&gt;"",D65="")),AND(OR(SUM(Q65)&lt;&gt;0,SUM(R65)&lt;&gt;0,AND(U65&lt;&gt;"",U65&lt;&gt;0),AND(V65&lt;&gt;"",V65&lt;&gt;0),AND(W65&lt;&gt;"",W65&lt;&gt;0),AND(X65&lt;&gt;"",X65&lt;&gt;0),AND(Y65&lt;&gt;"",Y65&lt;&gt;0),AND(Z65&lt;&gt;"",Z65&lt;&gt;0),AND(AA65&lt;&gt;"",AA65&lt;&gt;0),AND(AB65&lt;&gt;"",AB65&lt;&gt;0),AND(AC65&lt;&gt;"",AC65&lt;&gt;0),AND(AD65&lt;&gt;"",AD65&lt;&gt;0),AE65&lt;&gt;"",AF65&lt;&gt;""),OR(C65="",D65=""))),"Error 2.11",IF(AND(C65&lt;&gt;"",ISNUMBER(D65)=FALSE),"Error 1.2",IF(AND(C65&lt;&gt;"",'Table 3a'!D66-INT('Table 3a'!D66)&lt;&gt;0),"Error 2.1",IF(AND(C65&lt;&gt;"",OR(D65&lt;2000,AND(D65&gt;3999,D65&lt;5200),AND(D65&gt;5299,D65&lt;5940),D65&gt;5949)),"Error 2.3",IF(AND(C65&lt;&gt;"",COUNTIF(startdfes:enddfes,D65)&gt;1),"Warning 1.2","")))))</f>
      </c>
      <c r="AU65" s="660">
        <f>IF(AND(OR(E65="",E65=0),C65="",D65=""),"",IF(AND(OR(C65&lt;&gt;"",D65&lt;&gt;""),E65=""),"Error 4.10.2",IF(AND(E65&lt;&gt;"",ISNUMBER(E65)=FALSE),"Error 1.2",IF(E65&lt;=0,"Error 1.4",IF('Table 3a'!AC66&lt;&gt;'Table 3a'!CA66,"Warning 2.7","")))))</f>
      </c>
      <c r="AV65" s="660">
        <f t="shared" si="40"/>
      </c>
      <c r="AW65" s="661"/>
      <c r="AX65" s="660">
        <f t="shared" si="41"/>
      </c>
      <c r="AY65" s="660">
        <f t="shared" si="42"/>
      </c>
      <c r="AZ65" s="660">
        <f t="shared" si="43"/>
      </c>
      <c r="BA65" s="660">
        <f t="shared" si="44"/>
      </c>
      <c r="BB65" s="660">
        <f t="shared" si="45"/>
      </c>
      <c r="BC65" s="660">
        <f t="shared" si="46"/>
      </c>
      <c r="BD65" s="660">
        <f t="shared" si="47"/>
      </c>
      <c r="BE65" s="660">
        <f t="shared" si="48"/>
      </c>
      <c r="BF65" s="660">
        <f t="shared" si="49"/>
      </c>
      <c r="BG65" s="660">
        <f>IF(AND(OR(Q65="",Q65=0),C65="",D65=""),"",IF(AND(OR(C65&lt;&gt;"",D65&lt;&gt;""),Q65=""),"Error 4.10.2",IF(AND(Q65&lt;&gt;"",ISNUMBER(Q65)=FALSE),"Error 1.2",IF(AND(OR(Q65&lt;10000,Q65&gt;10000000)),"Error 3.2.1",IF(ABS(('Table 3a'!BY66*2)-'Table 3a'!BZ66)&gt;50,"Error 3.7","")))))</f>
      </c>
      <c r="BH65" s="660">
        <f t="shared" si="50"/>
      </c>
      <c r="BI65" s="660">
        <f t="shared" si="51"/>
      </c>
      <c r="BJ65" s="660">
        <f t="shared" si="52"/>
      </c>
      <c r="BK65" s="660">
        <f t="shared" si="53"/>
      </c>
      <c r="BL65" s="660">
        <f t="shared" si="54"/>
      </c>
      <c r="BM65" s="663"/>
      <c r="BN65" s="660">
        <f t="shared" si="55"/>
      </c>
      <c r="BO65" s="660">
        <f t="shared" si="56"/>
      </c>
      <c r="BP65" s="660">
        <f t="shared" si="57"/>
      </c>
      <c r="BQ65" s="660">
        <f t="shared" si="58"/>
      </c>
      <c r="BR65" s="660">
        <f t="shared" si="59"/>
      </c>
      <c r="BS65" s="660">
        <f t="shared" si="60"/>
      </c>
      <c r="BT65" s="662"/>
      <c r="BU65" s="660">
        <f t="shared" si="61"/>
      </c>
      <c r="BV65" s="660">
        <f t="shared" si="62"/>
      </c>
      <c r="BW65" s="605">
        <f t="shared" si="63"/>
        <v>0</v>
      </c>
      <c r="BX65" s="660">
        <f t="shared" si="64"/>
      </c>
      <c r="BY65" s="664"/>
      <c r="BZ65" s="664"/>
      <c r="CA65" s="665"/>
      <c r="CB65" s="665"/>
      <c r="CC65" s="666"/>
      <c r="CD65" s="154"/>
      <c r="DG65" s="3"/>
    </row>
    <row r="66" spans="1:111" s="52" customFormat="1" ht="12.75">
      <c r="A66" s="681"/>
      <c r="B66" s="645">
        <f>IF('Table 3a'!B67="","",'Table 3a'!B67)</f>
        <v>37</v>
      </c>
      <c r="C66" s="644" t="str">
        <f>IF('Table 3a'!C67="","",'Table 3a'!C67)</f>
        <v>Meriden Church of England Primary School</v>
      </c>
      <c r="D66" s="645">
        <f>IF('Table 3a'!D67="","",'Table 3a'!D67)</f>
        <v>3010</v>
      </c>
      <c r="E66" s="646">
        <f>IF('Table 3a'!AC67="","",'Table 3a'!AC67)</f>
        <v>369501.45000000007</v>
      </c>
      <c r="F66" s="646">
        <f>IF('Table 3a'!AJ67="","",'Table 3a'!AJ67)</f>
        <v>52196</v>
      </c>
      <c r="G66" s="647"/>
      <c r="H66" s="646">
        <f>IF('Table 3a'!AO67="","",'Table 3a'!AO67)</f>
        <v>0</v>
      </c>
      <c r="I66" s="646">
        <f>IF('Table 3a'!AU67="","",'Table 3a'!AU67)</f>
        <v>39028</v>
      </c>
      <c r="J66" s="646">
        <f>IF('Table 3a'!AX67="","",'Table 3a'!AX67)</f>
        <v>8028</v>
      </c>
      <c r="K66" s="646">
        <f>IF('Table 3a'!BC67="","",'Table 3a'!BC67)</f>
        <v>10617</v>
      </c>
      <c r="L66" s="646">
        <f>IF('Table 3a'!BI67="","",'Table 3a'!BI67)</f>
        <v>5242</v>
      </c>
      <c r="M66" s="646">
        <f>IF('Table 3a'!BN67="","",'Table 3a'!BN67)</f>
        <v>38731</v>
      </c>
      <c r="N66" s="646">
        <f>IF('Table 3a'!BT67="","",'Table 3a'!BT67)</f>
        <v>120203</v>
      </c>
      <c r="O66" s="646">
        <f>IF('Table 3a'!BW67="","",'Table 3a'!BW67)</f>
        <v>0</v>
      </c>
      <c r="P66" s="646">
        <f>IF('Table 3a'!BX67="","",'Table 3a'!BX67)</f>
        <v>0</v>
      </c>
      <c r="Q66" s="646">
        <f t="shared" si="36"/>
        <v>643546.4500000001</v>
      </c>
      <c r="R66" s="646">
        <f>IF('Table 3a'!AB67="","",'Table 3a'!AB67)</f>
        <v>171.5</v>
      </c>
      <c r="S66" s="646">
        <f t="shared" si="37"/>
        <v>3752.4574344023326</v>
      </c>
      <c r="T66" s="649" t="s">
        <v>642</v>
      </c>
      <c r="U66" s="649">
        <v>32810.928764334276</v>
      </c>
      <c r="V66" s="649">
        <v>3596</v>
      </c>
      <c r="W66" s="651"/>
      <c r="X66" s="649">
        <v>22374</v>
      </c>
      <c r="Y66" s="649">
        <v>0</v>
      </c>
      <c r="Z66" s="649">
        <v>0</v>
      </c>
      <c r="AA66" s="649">
        <v>0</v>
      </c>
      <c r="AB66" s="649">
        <v>0</v>
      </c>
      <c r="AC66" s="649">
        <f t="shared" si="38"/>
        <v>47056</v>
      </c>
      <c r="AD66" s="647"/>
      <c r="AE66" s="652"/>
      <c r="AF66" s="653"/>
      <c r="AG66" s="654"/>
      <c r="AH66" s="655"/>
      <c r="AI66" s="656"/>
      <c r="AJ66" s="657"/>
      <c r="AK66" s="658"/>
      <c r="AL66" s="658"/>
      <c r="AM66" s="658"/>
      <c r="AN66" s="657"/>
      <c r="AO66" s="658"/>
      <c r="AP66" s="658"/>
      <c r="AQ66" s="658"/>
      <c r="AR66" s="682"/>
      <c r="AS66" s="660">
        <f t="shared" si="39"/>
      </c>
      <c r="AT66" s="660">
        <f>IF(OR(OR(AND(C66="",D66&lt;&gt;""),AND(C66&lt;&gt;"",D66="")),AND(OR(SUM(Q66)&lt;&gt;0,SUM(R66)&lt;&gt;0,AND(U66&lt;&gt;"",U66&lt;&gt;0),AND(V66&lt;&gt;"",V66&lt;&gt;0),AND(W66&lt;&gt;"",W66&lt;&gt;0),AND(X66&lt;&gt;"",X66&lt;&gt;0),AND(Y66&lt;&gt;"",Y66&lt;&gt;0),AND(Z66&lt;&gt;"",Z66&lt;&gt;0),AND(AA66&lt;&gt;"",AA66&lt;&gt;0),AND(AB66&lt;&gt;"",AB66&lt;&gt;0),AND(AC66&lt;&gt;"",AC66&lt;&gt;0),AND(AD66&lt;&gt;"",AD66&lt;&gt;0),AE66&lt;&gt;"",AF66&lt;&gt;""),OR(C66="",D66=""))),"Error 2.11",IF(AND(C66&lt;&gt;"",ISNUMBER(D66)=FALSE),"Error 1.2",IF(AND(C66&lt;&gt;"",'Table 3a'!D67-INT('Table 3a'!D67)&lt;&gt;0),"Error 2.1",IF(AND(C66&lt;&gt;"",OR(D66&lt;2000,AND(D66&gt;3999,D66&lt;5200),AND(D66&gt;5299,D66&lt;5940),D66&gt;5949)),"Error 2.3",IF(AND(C66&lt;&gt;"",COUNTIF(startdfes:enddfes,D66)&gt;1),"Warning 1.2","")))))</f>
      </c>
      <c r="AU66" s="660">
        <f>IF(AND(OR(E66="",E66=0),C66="",D66=""),"",IF(AND(OR(C66&lt;&gt;"",D66&lt;&gt;""),E66=""),"Error 4.10.2",IF(AND(E66&lt;&gt;"",ISNUMBER(E66)=FALSE),"Error 1.2",IF(E66&lt;=0,"Error 1.4",IF('Table 3a'!AC67&lt;&gt;'Table 3a'!CA67,"Warning 2.7","")))))</f>
      </c>
      <c r="AV66" s="660">
        <f t="shared" si="40"/>
      </c>
      <c r="AW66" s="661"/>
      <c r="AX66" s="660">
        <f t="shared" si="41"/>
      </c>
      <c r="AY66" s="660">
        <f t="shared" si="42"/>
      </c>
      <c r="AZ66" s="660">
        <f t="shared" si="43"/>
      </c>
      <c r="BA66" s="660">
        <f t="shared" si="44"/>
      </c>
      <c r="BB66" s="660">
        <f t="shared" si="45"/>
      </c>
      <c r="BC66" s="660">
        <f t="shared" si="46"/>
      </c>
      <c r="BD66" s="660">
        <f t="shared" si="47"/>
      </c>
      <c r="BE66" s="660">
        <f t="shared" si="48"/>
      </c>
      <c r="BF66" s="660">
        <f t="shared" si="49"/>
      </c>
      <c r="BG66" s="660">
        <f>IF(AND(OR(Q66="",Q66=0),C66="",D66=""),"",IF(AND(OR(C66&lt;&gt;"",D66&lt;&gt;""),Q66=""),"Error 4.10.2",IF(AND(Q66&lt;&gt;"",ISNUMBER(Q66)=FALSE),"Error 1.2",IF(AND(OR(Q66&lt;10000,Q66&gt;10000000)),"Error 3.2.1",IF(ABS(('Table 3a'!BY67*2)-'Table 3a'!BZ67)&gt;50,"Error 3.7","")))))</f>
      </c>
      <c r="BH66" s="660">
        <f t="shared" si="50"/>
      </c>
      <c r="BI66" s="660">
        <f t="shared" si="51"/>
      </c>
      <c r="BJ66" s="660">
        <f t="shared" si="52"/>
      </c>
      <c r="BK66" s="660">
        <f t="shared" si="53"/>
      </c>
      <c r="BL66" s="660">
        <f t="shared" si="54"/>
      </c>
      <c r="BM66" s="663"/>
      <c r="BN66" s="660">
        <f t="shared" si="55"/>
      </c>
      <c r="BO66" s="660">
        <f t="shared" si="56"/>
      </c>
      <c r="BP66" s="660">
        <f t="shared" si="57"/>
      </c>
      <c r="BQ66" s="660">
        <f t="shared" si="58"/>
      </c>
      <c r="BR66" s="660">
        <f t="shared" si="59"/>
      </c>
      <c r="BS66" s="660">
        <f t="shared" si="60"/>
      </c>
      <c r="BT66" s="662"/>
      <c r="BU66" s="660">
        <f t="shared" si="61"/>
      </c>
      <c r="BV66" s="660">
        <f t="shared" si="62"/>
      </c>
      <c r="BW66" s="605">
        <f t="shared" si="63"/>
        <v>0</v>
      </c>
      <c r="BX66" s="660">
        <f t="shared" si="64"/>
      </c>
      <c r="BY66" s="664"/>
      <c r="BZ66" s="664"/>
      <c r="CA66" s="665"/>
      <c r="CB66" s="665"/>
      <c r="CC66" s="666"/>
      <c r="CD66" s="154"/>
      <c r="DG66" s="3"/>
    </row>
    <row r="67" spans="1:111" s="52" customFormat="1" ht="12.75">
      <c r="A67" s="681"/>
      <c r="B67" s="645">
        <f>IF('Table 3a'!B68="","",'Table 3a'!B68)</f>
        <v>4</v>
      </c>
      <c r="C67" s="644" t="str">
        <f>IF('Table 3a'!C68="","",'Table 3a'!C68)</f>
        <v>Bentley Heath Church of England Primary School</v>
      </c>
      <c r="D67" s="645">
        <f>IF('Table 3a'!D68="","",'Table 3a'!D68)</f>
        <v>3011</v>
      </c>
      <c r="E67" s="646">
        <f>IF('Table 3a'!AC68="","",'Table 3a'!AC68)</f>
        <v>820386.73</v>
      </c>
      <c r="F67" s="646">
        <f>IF('Table 3a'!AJ68="","",'Table 3a'!AJ68)</f>
        <v>78434</v>
      </c>
      <c r="G67" s="647"/>
      <c r="H67" s="646">
        <f>IF('Table 3a'!AO68="","",'Table 3a'!AO68)</f>
        <v>0</v>
      </c>
      <c r="I67" s="646">
        <f>IF('Table 3a'!AU68="","",'Table 3a'!AU68)</f>
        <v>38485</v>
      </c>
      <c r="J67" s="646">
        <f>IF('Table 3a'!AX68="","",'Table 3a'!AX68)</f>
        <v>3265</v>
      </c>
      <c r="K67" s="646">
        <f>IF('Table 3a'!BC68="","",'Table 3a'!BC68)</f>
        <v>12212</v>
      </c>
      <c r="L67" s="646">
        <f>IF('Table 3a'!BI68="","",'Table 3a'!BI68)</f>
        <v>5738</v>
      </c>
      <c r="M67" s="646">
        <f>IF('Table 3a'!BN68="","",'Table 3a'!BN68)</f>
        <v>72314</v>
      </c>
      <c r="N67" s="646">
        <f>IF('Table 3a'!BT68="","",'Table 3a'!BT68)</f>
        <v>88334</v>
      </c>
      <c r="O67" s="646">
        <f>IF('Table 3a'!BW68="","",'Table 3a'!BW68)</f>
        <v>0</v>
      </c>
      <c r="P67" s="646">
        <f>IF('Table 3a'!BX68="","",'Table 3a'!BX68)</f>
        <v>0</v>
      </c>
      <c r="Q67" s="646">
        <f t="shared" si="36"/>
        <v>1119168.73</v>
      </c>
      <c r="R67" s="646">
        <f>IF('Table 3a'!AB68="","",'Table 3a'!AB68)</f>
        <v>374</v>
      </c>
      <c r="S67" s="646">
        <f t="shared" si="37"/>
        <v>2992.4297593582887</v>
      </c>
      <c r="T67" s="649" t="s">
        <v>642</v>
      </c>
      <c r="U67" s="649">
        <v>57635.00890633421</v>
      </c>
      <c r="V67" s="649">
        <v>6101</v>
      </c>
      <c r="W67" s="651"/>
      <c r="X67" s="649">
        <v>23234</v>
      </c>
      <c r="Y67" s="649">
        <v>0</v>
      </c>
      <c r="Z67" s="649">
        <v>0</v>
      </c>
      <c r="AA67" s="649">
        <v>0</v>
      </c>
      <c r="AB67" s="649">
        <v>0</v>
      </c>
      <c r="AC67" s="649">
        <f t="shared" si="38"/>
        <v>41750</v>
      </c>
      <c r="AD67" s="647"/>
      <c r="AE67" s="652"/>
      <c r="AF67" s="653"/>
      <c r="AG67" s="654"/>
      <c r="AH67" s="655"/>
      <c r="AI67" s="656"/>
      <c r="AJ67" s="657"/>
      <c r="AK67" s="658"/>
      <c r="AL67" s="658"/>
      <c r="AM67" s="658"/>
      <c r="AN67" s="657"/>
      <c r="AO67" s="658"/>
      <c r="AP67" s="658"/>
      <c r="AQ67" s="658"/>
      <c r="AR67" s="682"/>
      <c r="AS67" s="660">
        <f t="shared" si="39"/>
      </c>
      <c r="AT67" s="660">
        <f>IF(OR(OR(AND(C67="",D67&lt;&gt;""),AND(C67&lt;&gt;"",D67="")),AND(OR(SUM(Q67)&lt;&gt;0,SUM(R67)&lt;&gt;0,AND(U67&lt;&gt;"",U67&lt;&gt;0),AND(V67&lt;&gt;"",V67&lt;&gt;0),AND(W67&lt;&gt;"",W67&lt;&gt;0),AND(X67&lt;&gt;"",X67&lt;&gt;0),AND(Y67&lt;&gt;"",Y67&lt;&gt;0),AND(Z67&lt;&gt;"",Z67&lt;&gt;0),AND(AA67&lt;&gt;"",AA67&lt;&gt;0),AND(AB67&lt;&gt;"",AB67&lt;&gt;0),AND(AC67&lt;&gt;"",AC67&lt;&gt;0),AND(AD67&lt;&gt;"",AD67&lt;&gt;0),AE67&lt;&gt;"",AF67&lt;&gt;""),OR(C67="",D67=""))),"Error 2.11",IF(AND(C67&lt;&gt;"",ISNUMBER(D67)=FALSE),"Error 1.2",IF(AND(C67&lt;&gt;"",'Table 3a'!D68-INT('Table 3a'!D68)&lt;&gt;0),"Error 2.1",IF(AND(C67&lt;&gt;"",OR(D67&lt;2000,AND(D67&gt;3999,D67&lt;5200),AND(D67&gt;5299,D67&lt;5940),D67&gt;5949)),"Error 2.3",IF(AND(C67&lt;&gt;"",COUNTIF(startdfes:enddfes,D67)&gt;1),"Warning 1.2","")))))</f>
      </c>
      <c r="AU67" s="660">
        <f>IF(AND(OR(E67="",E67=0),C67="",D67=""),"",IF(AND(OR(C67&lt;&gt;"",D67&lt;&gt;""),E67=""),"Error 4.10.2",IF(AND(E67&lt;&gt;"",ISNUMBER(E67)=FALSE),"Error 1.2",IF(E67&lt;=0,"Error 1.4",IF('Table 3a'!AC68&lt;&gt;'Table 3a'!CA68,"Warning 2.7","")))))</f>
      </c>
      <c r="AV67" s="660">
        <f t="shared" si="40"/>
      </c>
      <c r="AW67" s="661"/>
      <c r="AX67" s="660">
        <f t="shared" si="41"/>
      </c>
      <c r="AY67" s="660">
        <f t="shared" si="42"/>
      </c>
      <c r="AZ67" s="660">
        <f t="shared" si="43"/>
      </c>
      <c r="BA67" s="660">
        <f t="shared" si="44"/>
      </c>
      <c r="BB67" s="660">
        <f t="shared" si="45"/>
      </c>
      <c r="BC67" s="660">
        <f t="shared" si="46"/>
      </c>
      <c r="BD67" s="660">
        <f t="shared" si="47"/>
      </c>
      <c r="BE67" s="660">
        <f t="shared" si="48"/>
      </c>
      <c r="BF67" s="660">
        <f t="shared" si="49"/>
      </c>
      <c r="BG67" s="660">
        <f>IF(AND(OR(Q67="",Q67=0),C67="",D67=""),"",IF(AND(OR(C67&lt;&gt;"",D67&lt;&gt;""),Q67=""),"Error 4.10.2",IF(AND(Q67&lt;&gt;"",ISNUMBER(Q67)=FALSE),"Error 1.2",IF(AND(OR(Q67&lt;10000,Q67&gt;10000000)),"Error 3.2.1",IF(ABS(('Table 3a'!BY68*2)-'Table 3a'!BZ68)&gt;50,"Error 3.7","")))))</f>
      </c>
      <c r="BH67" s="660">
        <f t="shared" si="50"/>
      </c>
      <c r="BI67" s="660">
        <f t="shared" si="51"/>
      </c>
      <c r="BJ67" s="660">
        <f t="shared" si="52"/>
      </c>
      <c r="BK67" s="660">
        <f t="shared" si="53"/>
      </c>
      <c r="BL67" s="660">
        <f t="shared" si="54"/>
      </c>
      <c r="BM67" s="663"/>
      <c r="BN67" s="660">
        <f t="shared" si="55"/>
      </c>
      <c r="BO67" s="660">
        <f t="shared" si="56"/>
      </c>
      <c r="BP67" s="660">
        <f t="shared" si="57"/>
      </c>
      <c r="BQ67" s="660">
        <f t="shared" si="58"/>
      </c>
      <c r="BR67" s="660">
        <f t="shared" si="59"/>
      </c>
      <c r="BS67" s="660">
        <f t="shared" si="60"/>
      </c>
      <c r="BT67" s="662"/>
      <c r="BU67" s="660">
        <f t="shared" si="61"/>
      </c>
      <c r="BV67" s="660">
        <f t="shared" si="62"/>
      </c>
      <c r="BW67" s="605">
        <f t="shared" si="63"/>
        <v>0</v>
      </c>
      <c r="BX67" s="660">
        <f t="shared" si="64"/>
      </c>
      <c r="BY67" s="664"/>
      <c r="BZ67" s="664"/>
      <c r="CA67" s="665"/>
      <c r="CB67" s="665"/>
      <c r="CC67" s="666"/>
      <c r="CD67" s="154"/>
      <c r="DG67" s="3"/>
    </row>
    <row r="68" spans="1:111" s="52" customFormat="1" ht="12.75">
      <c r="A68" s="681"/>
      <c r="B68" s="645">
        <f>IF('Table 3a'!B69="","",'Table 3a'!B69)</f>
        <v>32</v>
      </c>
      <c r="C68" s="644" t="str">
        <f>IF('Table 3a'!C69="","",'Table 3a'!C69)</f>
        <v>Knowle Church of England Primary School</v>
      </c>
      <c r="D68" s="645">
        <f>IF('Table 3a'!D69="","",'Table 3a'!D69)</f>
        <v>3012</v>
      </c>
      <c r="E68" s="646">
        <f>IF('Table 3a'!AC69="","",'Table 3a'!AC69)</f>
        <v>921334.6400000001</v>
      </c>
      <c r="F68" s="646">
        <f>IF('Table 3a'!AJ69="","",'Table 3a'!AJ69)</f>
        <v>74268</v>
      </c>
      <c r="G68" s="647"/>
      <c r="H68" s="646">
        <f>IF('Table 3a'!AO69="","",'Table 3a'!AO69)</f>
        <v>0</v>
      </c>
      <c r="I68" s="646">
        <f>IF('Table 3a'!AU69="","",'Table 3a'!AU69)</f>
        <v>27433</v>
      </c>
      <c r="J68" s="646">
        <f>IF('Table 3a'!AX69="","",'Table 3a'!AX69)</f>
        <v>7368</v>
      </c>
      <c r="K68" s="646">
        <f>IF('Table 3a'!BC69="","",'Table 3a'!BC69)</f>
        <v>7943</v>
      </c>
      <c r="L68" s="646">
        <f>IF('Table 3a'!BI69="","",'Table 3a'!BI69)</f>
        <v>5106</v>
      </c>
      <c r="M68" s="646">
        <f>IF('Table 3a'!BN69="","",'Table 3a'!BN69)</f>
        <v>89283</v>
      </c>
      <c r="N68" s="646">
        <f>IF('Table 3a'!BT69="","",'Table 3a'!BT69)</f>
        <v>91471</v>
      </c>
      <c r="O68" s="646">
        <f>IF('Table 3a'!BW69="","",'Table 3a'!BW69)</f>
        <v>0</v>
      </c>
      <c r="P68" s="646">
        <f>IF('Table 3a'!BX69="","",'Table 3a'!BX69)</f>
        <v>0</v>
      </c>
      <c r="Q68" s="646">
        <f t="shared" si="36"/>
        <v>1224206.6400000001</v>
      </c>
      <c r="R68" s="646">
        <f>IF('Table 3a'!AB69="","",'Table 3a'!AB69)</f>
        <v>434</v>
      </c>
      <c r="S68" s="646">
        <f t="shared" si="37"/>
        <v>2820.752626728111</v>
      </c>
      <c r="T68" s="649" t="s">
        <v>642</v>
      </c>
      <c r="U68" s="649">
        <v>65416.19273876416</v>
      </c>
      <c r="V68" s="649">
        <v>4924</v>
      </c>
      <c r="W68" s="651"/>
      <c r="X68" s="649">
        <v>28175</v>
      </c>
      <c r="Y68" s="649">
        <v>0</v>
      </c>
      <c r="Z68" s="649">
        <v>0</v>
      </c>
      <c r="AA68" s="649">
        <v>0</v>
      </c>
      <c r="AB68" s="649">
        <v>0</v>
      </c>
      <c r="AC68" s="649">
        <f t="shared" si="38"/>
        <v>34801</v>
      </c>
      <c r="AD68" s="647"/>
      <c r="AE68" s="652"/>
      <c r="AF68" s="653"/>
      <c r="AG68" s="654"/>
      <c r="AH68" s="655"/>
      <c r="AI68" s="656"/>
      <c r="AJ68" s="657"/>
      <c r="AK68" s="658"/>
      <c r="AL68" s="658"/>
      <c r="AM68" s="658"/>
      <c r="AN68" s="657"/>
      <c r="AO68" s="658"/>
      <c r="AP68" s="658"/>
      <c r="AQ68" s="658"/>
      <c r="AR68" s="682"/>
      <c r="AS68" s="660">
        <f t="shared" si="39"/>
      </c>
      <c r="AT68" s="660">
        <f>IF(OR(OR(AND(C68="",D68&lt;&gt;""),AND(C68&lt;&gt;"",D68="")),AND(OR(SUM(Q68)&lt;&gt;0,SUM(R68)&lt;&gt;0,AND(U68&lt;&gt;"",U68&lt;&gt;0),AND(V68&lt;&gt;"",V68&lt;&gt;0),AND(W68&lt;&gt;"",W68&lt;&gt;0),AND(X68&lt;&gt;"",X68&lt;&gt;0),AND(Y68&lt;&gt;"",Y68&lt;&gt;0),AND(Z68&lt;&gt;"",Z68&lt;&gt;0),AND(AA68&lt;&gt;"",AA68&lt;&gt;0),AND(AB68&lt;&gt;"",AB68&lt;&gt;0),AND(AC68&lt;&gt;"",AC68&lt;&gt;0),AND(AD68&lt;&gt;"",AD68&lt;&gt;0),AE68&lt;&gt;"",AF68&lt;&gt;""),OR(C68="",D68=""))),"Error 2.11",IF(AND(C68&lt;&gt;"",ISNUMBER(D68)=FALSE),"Error 1.2",IF(AND(C68&lt;&gt;"",'Table 3a'!D69-INT('Table 3a'!D69)&lt;&gt;0),"Error 2.1",IF(AND(C68&lt;&gt;"",OR(D68&lt;2000,AND(D68&gt;3999,D68&lt;5200),AND(D68&gt;5299,D68&lt;5940),D68&gt;5949)),"Error 2.3",IF(AND(C68&lt;&gt;"",COUNTIF(startdfes:enddfes,D68)&gt;1),"Warning 1.2","")))))</f>
      </c>
      <c r="AU68" s="660">
        <f>IF(AND(OR(E68="",E68=0),C68="",D68=""),"",IF(AND(OR(C68&lt;&gt;"",D68&lt;&gt;""),E68=""),"Error 4.10.2",IF(AND(E68&lt;&gt;"",ISNUMBER(E68)=FALSE),"Error 1.2",IF(E68&lt;=0,"Error 1.4",IF('Table 3a'!AC69&lt;&gt;'Table 3a'!CA69,"Warning 2.7","")))))</f>
      </c>
      <c r="AV68" s="660">
        <f t="shared" si="40"/>
      </c>
      <c r="AW68" s="661"/>
      <c r="AX68" s="660">
        <f t="shared" si="41"/>
      </c>
      <c r="AY68" s="660">
        <f t="shared" si="42"/>
      </c>
      <c r="AZ68" s="660">
        <f t="shared" si="43"/>
      </c>
      <c r="BA68" s="660">
        <f t="shared" si="44"/>
      </c>
      <c r="BB68" s="660">
        <f t="shared" si="45"/>
      </c>
      <c r="BC68" s="660">
        <f t="shared" si="46"/>
      </c>
      <c r="BD68" s="660">
        <f t="shared" si="47"/>
      </c>
      <c r="BE68" s="660">
        <f t="shared" si="48"/>
      </c>
      <c r="BF68" s="660">
        <f t="shared" si="49"/>
      </c>
      <c r="BG68" s="660">
        <f>IF(AND(OR(Q68="",Q68=0),C68="",D68=""),"",IF(AND(OR(C68&lt;&gt;"",D68&lt;&gt;""),Q68=""),"Error 4.10.2",IF(AND(Q68&lt;&gt;"",ISNUMBER(Q68)=FALSE),"Error 1.2",IF(AND(OR(Q68&lt;10000,Q68&gt;10000000)),"Error 3.2.1",IF(ABS(('Table 3a'!BY69*2)-'Table 3a'!BZ69)&gt;50,"Error 3.7","")))))</f>
      </c>
      <c r="BH68" s="660">
        <f t="shared" si="50"/>
      </c>
      <c r="BI68" s="660">
        <f t="shared" si="51"/>
      </c>
      <c r="BJ68" s="660">
        <f t="shared" si="52"/>
      </c>
      <c r="BK68" s="660">
        <f t="shared" si="53"/>
      </c>
      <c r="BL68" s="660">
        <f t="shared" si="54"/>
      </c>
      <c r="BM68" s="663"/>
      <c r="BN68" s="660">
        <f t="shared" si="55"/>
      </c>
      <c r="BO68" s="660">
        <f t="shared" si="56"/>
      </c>
      <c r="BP68" s="660">
        <f t="shared" si="57"/>
      </c>
      <c r="BQ68" s="660">
        <f t="shared" si="58"/>
      </c>
      <c r="BR68" s="660">
        <f t="shared" si="59"/>
      </c>
      <c r="BS68" s="660">
        <f t="shared" si="60"/>
      </c>
      <c r="BT68" s="662"/>
      <c r="BU68" s="660">
        <f t="shared" si="61"/>
      </c>
      <c r="BV68" s="660">
        <f t="shared" si="62"/>
      </c>
      <c r="BW68" s="605">
        <f t="shared" si="63"/>
        <v>0</v>
      </c>
      <c r="BX68" s="660">
        <f t="shared" si="64"/>
      </c>
      <c r="BY68" s="664"/>
      <c r="BZ68" s="664"/>
      <c r="CA68" s="665"/>
      <c r="CB68" s="665"/>
      <c r="CC68" s="666"/>
      <c r="CD68" s="154"/>
      <c r="DG68" s="3"/>
    </row>
    <row r="69" spans="1:111" s="52" customFormat="1" ht="12.75">
      <c r="A69" s="681"/>
      <c r="B69" s="645">
        <f>IF('Table 3a'!B70="","",'Table 3a'!B70)</f>
        <v>55</v>
      </c>
      <c r="C69" s="644" t="str">
        <f>IF('Table 3a'!C70="","",'Table 3a'!C70)</f>
        <v>St Margaret's Church of England Voluntary Aided Primary School</v>
      </c>
      <c r="D69" s="645">
        <f>IF('Table 3a'!D70="","",'Table 3a'!D70)</f>
        <v>3300</v>
      </c>
      <c r="E69" s="646">
        <f>IF('Table 3a'!AC70="","",'Table 3a'!AC70)</f>
        <v>478194.29999999993</v>
      </c>
      <c r="F69" s="646">
        <f>IF('Table 3a'!AJ70="","",'Table 3a'!AJ70)</f>
        <v>37134</v>
      </c>
      <c r="G69" s="647"/>
      <c r="H69" s="646">
        <f>IF('Table 3a'!AO70="","",'Table 3a'!AO70)</f>
        <v>0</v>
      </c>
      <c r="I69" s="646">
        <f>IF('Table 3a'!AU70="","",'Table 3a'!AU70)</f>
        <v>22468</v>
      </c>
      <c r="J69" s="646">
        <f>IF('Table 3a'!AX70="","",'Table 3a'!AX70)</f>
        <v>3265</v>
      </c>
      <c r="K69" s="646">
        <f>IF('Table 3a'!BC70="","",'Table 3a'!BC70)</f>
        <v>9130</v>
      </c>
      <c r="L69" s="646">
        <f>IF('Table 3a'!BI70="","",'Table 3a'!BI70)</f>
        <v>5564</v>
      </c>
      <c r="M69" s="646">
        <f>IF('Table 3a'!BN70="","",'Table 3a'!BN70)</f>
        <v>37103</v>
      </c>
      <c r="N69" s="646">
        <f>IF('Table 3a'!BT70="","",'Table 3a'!BT70)</f>
        <v>105242</v>
      </c>
      <c r="O69" s="646">
        <f>IF('Table 3a'!BW70="","",'Table 3a'!BW70)</f>
        <v>0</v>
      </c>
      <c r="P69" s="646">
        <f>IF('Table 3a'!BX70="","",'Table 3a'!BX70)</f>
        <v>0</v>
      </c>
      <c r="Q69" s="646">
        <f t="shared" si="36"/>
        <v>698100.2999999999</v>
      </c>
      <c r="R69" s="646">
        <f>IF('Table 3a'!AB70="","",'Table 3a'!AB70)</f>
        <v>225</v>
      </c>
      <c r="S69" s="646">
        <f t="shared" si="37"/>
        <v>3102.6679999999997</v>
      </c>
      <c r="T69" s="649" t="s">
        <v>642</v>
      </c>
      <c r="U69" s="649">
        <v>39717.0021</v>
      </c>
      <c r="V69" s="649">
        <v>2406</v>
      </c>
      <c r="W69" s="651"/>
      <c r="X69" s="649">
        <v>17396</v>
      </c>
      <c r="Y69" s="649">
        <v>0</v>
      </c>
      <c r="Z69" s="649">
        <v>0</v>
      </c>
      <c r="AA69" s="649">
        <v>0</v>
      </c>
      <c r="AB69" s="649">
        <v>0</v>
      </c>
      <c r="AC69" s="649">
        <f t="shared" si="38"/>
        <v>25733</v>
      </c>
      <c r="AD69" s="647"/>
      <c r="AE69" s="652"/>
      <c r="AF69" s="653"/>
      <c r="AG69" s="654"/>
      <c r="AH69" s="655"/>
      <c r="AI69" s="656"/>
      <c r="AJ69" s="657"/>
      <c r="AK69" s="658"/>
      <c r="AL69" s="658"/>
      <c r="AM69" s="658"/>
      <c r="AN69" s="657"/>
      <c r="AO69" s="658"/>
      <c r="AP69" s="658"/>
      <c r="AQ69" s="658"/>
      <c r="AR69" s="682"/>
      <c r="AS69" s="660">
        <f t="shared" si="39"/>
      </c>
      <c r="AT69" s="660">
        <f>IF(OR(OR(AND(C69="",D69&lt;&gt;""),AND(C69&lt;&gt;"",D69="")),AND(OR(SUM(Q69)&lt;&gt;0,SUM(R69)&lt;&gt;0,AND(U69&lt;&gt;"",U69&lt;&gt;0),AND(V69&lt;&gt;"",V69&lt;&gt;0),AND(W69&lt;&gt;"",W69&lt;&gt;0),AND(X69&lt;&gt;"",X69&lt;&gt;0),AND(Y69&lt;&gt;"",Y69&lt;&gt;0),AND(Z69&lt;&gt;"",Z69&lt;&gt;0),AND(AA69&lt;&gt;"",AA69&lt;&gt;0),AND(AB69&lt;&gt;"",AB69&lt;&gt;0),AND(AC69&lt;&gt;"",AC69&lt;&gt;0),AND(AD69&lt;&gt;"",AD69&lt;&gt;0),AE69&lt;&gt;"",AF69&lt;&gt;""),OR(C69="",D69=""))),"Error 2.11",IF(AND(C69&lt;&gt;"",ISNUMBER(D69)=FALSE),"Error 1.2",IF(AND(C69&lt;&gt;"",'Table 3a'!D70-INT('Table 3a'!D70)&lt;&gt;0),"Error 2.1",IF(AND(C69&lt;&gt;"",OR(D69&lt;2000,AND(D69&gt;3999,D69&lt;5200),AND(D69&gt;5299,D69&lt;5940),D69&gt;5949)),"Error 2.3",IF(AND(C69&lt;&gt;"",COUNTIF(startdfes:enddfes,D69)&gt;1),"Warning 1.2","")))))</f>
      </c>
      <c r="AU69" s="660">
        <f>IF(AND(OR(E69="",E69=0),C69="",D69=""),"",IF(AND(OR(C69&lt;&gt;"",D69&lt;&gt;""),E69=""),"Error 4.10.2",IF(AND(E69&lt;&gt;"",ISNUMBER(E69)=FALSE),"Error 1.2",IF(E69&lt;=0,"Error 1.4",IF('Table 3a'!AC70&lt;&gt;'Table 3a'!CA70,"Warning 2.7","")))))</f>
      </c>
      <c r="AV69" s="660">
        <f t="shared" si="40"/>
      </c>
      <c r="AW69" s="661"/>
      <c r="AX69" s="660">
        <f t="shared" si="41"/>
      </c>
      <c r="AY69" s="660">
        <f t="shared" si="42"/>
      </c>
      <c r="AZ69" s="660">
        <f t="shared" si="43"/>
      </c>
      <c r="BA69" s="660">
        <f t="shared" si="44"/>
      </c>
      <c r="BB69" s="660">
        <f t="shared" si="45"/>
      </c>
      <c r="BC69" s="660">
        <f t="shared" si="46"/>
      </c>
      <c r="BD69" s="660">
        <f t="shared" si="47"/>
      </c>
      <c r="BE69" s="660">
        <f t="shared" si="48"/>
      </c>
      <c r="BF69" s="660">
        <f t="shared" si="49"/>
      </c>
      <c r="BG69" s="660">
        <f>IF(AND(OR(Q69="",Q69=0),C69="",D69=""),"",IF(AND(OR(C69&lt;&gt;"",D69&lt;&gt;""),Q69=""),"Error 4.10.2",IF(AND(Q69&lt;&gt;"",ISNUMBER(Q69)=FALSE),"Error 1.2",IF(AND(OR(Q69&lt;10000,Q69&gt;10000000)),"Error 3.2.1",IF(ABS(('Table 3a'!BY70*2)-'Table 3a'!BZ70)&gt;50,"Error 3.7","")))))</f>
      </c>
      <c r="BH69" s="660">
        <f t="shared" si="50"/>
      </c>
      <c r="BI69" s="660">
        <f t="shared" si="51"/>
      </c>
      <c r="BJ69" s="660">
        <f t="shared" si="52"/>
      </c>
      <c r="BK69" s="660">
        <f t="shared" si="53"/>
      </c>
      <c r="BL69" s="660">
        <f t="shared" si="54"/>
      </c>
      <c r="BM69" s="663"/>
      <c r="BN69" s="660">
        <f t="shared" si="55"/>
      </c>
      <c r="BO69" s="660">
        <f t="shared" si="56"/>
      </c>
      <c r="BP69" s="660">
        <f t="shared" si="57"/>
      </c>
      <c r="BQ69" s="660">
        <f t="shared" si="58"/>
      </c>
      <c r="BR69" s="660">
        <f t="shared" si="59"/>
      </c>
      <c r="BS69" s="660">
        <f t="shared" si="60"/>
      </c>
      <c r="BT69" s="662"/>
      <c r="BU69" s="660">
        <f t="shared" si="61"/>
      </c>
      <c r="BV69" s="660">
        <f t="shared" si="62"/>
      </c>
      <c r="BW69" s="605">
        <f t="shared" si="63"/>
        <v>0</v>
      </c>
      <c r="BX69" s="660">
        <f t="shared" si="64"/>
      </c>
      <c r="BY69" s="664"/>
      <c r="BZ69" s="664"/>
      <c r="CA69" s="665"/>
      <c r="CB69" s="665"/>
      <c r="CC69" s="666"/>
      <c r="CD69" s="154"/>
      <c r="DG69" s="3"/>
    </row>
    <row r="70" spans="1:111" s="52" customFormat="1" ht="12.75">
      <c r="A70" s="681"/>
      <c r="B70" s="645">
        <f>IF('Table 3a'!B71="","",'Table 3a'!B71)</f>
        <v>46</v>
      </c>
      <c r="C70" s="644" t="str">
        <f>IF('Table 3a'!C71="","",'Table 3a'!C71)</f>
        <v>St Alphege Church of England Infant and Nursery School</v>
      </c>
      <c r="D70" s="645">
        <f>IF('Table 3a'!D71="","",'Table 3a'!D71)</f>
        <v>3302</v>
      </c>
      <c r="E70" s="646">
        <f>IF('Table 3a'!AC71="","",'Table 3a'!AC71)</f>
        <v>542107.87</v>
      </c>
      <c r="F70" s="646">
        <f>IF('Table 3a'!AJ71="","",'Table 3a'!AJ71)</f>
        <v>91968</v>
      </c>
      <c r="G70" s="647"/>
      <c r="H70" s="646">
        <f>IF('Table 3a'!AO71="","",'Table 3a'!AO71)</f>
        <v>0</v>
      </c>
      <c r="I70" s="646">
        <f>IF('Table 3a'!AU71="","",'Table 3a'!AU71)</f>
        <v>25231</v>
      </c>
      <c r="J70" s="646">
        <f>IF('Table 3a'!AX71="","",'Table 3a'!AX71)</f>
        <v>16705</v>
      </c>
      <c r="K70" s="646">
        <f>IF('Table 3a'!BC71="","",'Table 3a'!BC71)</f>
        <v>3818</v>
      </c>
      <c r="L70" s="646">
        <f>IF('Table 3a'!BI71="","",'Table 3a'!BI71)</f>
        <v>2863</v>
      </c>
      <c r="M70" s="646">
        <f>IF('Table 3a'!BN71="","",'Table 3a'!BN71)</f>
        <v>33128</v>
      </c>
      <c r="N70" s="646">
        <f>IF('Table 3a'!BT71="","",'Table 3a'!BT71)</f>
        <v>85927</v>
      </c>
      <c r="O70" s="646">
        <f>IF('Table 3a'!BW71="","",'Table 3a'!BW71)</f>
        <v>0</v>
      </c>
      <c r="P70" s="646">
        <f>IF('Table 3a'!BX71="","",'Table 3a'!BX71)</f>
        <v>0</v>
      </c>
      <c r="Q70" s="646">
        <f t="shared" si="36"/>
        <v>801747.87</v>
      </c>
      <c r="R70" s="646">
        <f>IF('Table 3a'!AB71="","",'Table 3a'!AB71)</f>
        <v>254</v>
      </c>
      <c r="S70" s="646">
        <f t="shared" si="37"/>
        <v>3156.4876771653544</v>
      </c>
      <c r="T70" s="649" t="s">
        <v>642</v>
      </c>
      <c r="U70" s="649">
        <v>43743.445314169374</v>
      </c>
      <c r="V70" s="649">
        <v>2043</v>
      </c>
      <c r="W70" s="651"/>
      <c r="X70" s="649">
        <v>18412</v>
      </c>
      <c r="Y70" s="649">
        <v>0</v>
      </c>
      <c r="Z70" s="649">
        <v>0</v>
      </c>
      <c r="AA70" s="649">
        <v>0</v>
      </c>
      <c r="AB70" s="649">
        <v>0</v>
      </c>
      <c r="AC70" s="649">
        <f t="shared" si="38"/>
        <v>41936</v>
      </c>
      <c r="AD70" s="647"/>
      <c r="AE70" s="652"/>
      <c r="AF70" s="653"/>
      <c r="AG70" s="654"/>
      <c r="AH70" s="655"/>
      <c r="AI70" s="656"/>
      <c r="AJ70" s="657"/>
      <c r="AK70" s="658"/>
      <c r="AL70" s="658"/>
      <c r="AM70" s="658"/>
      <c r="AN70" s="657"/>
      <c r="AO70" s="658"/>
      <c r="AP70" s="658"/>
      <c r="AQ70" s="658"/>
      <c r="AR70" s="682"/>
      <c r="AS70" s="660">
        <f t="shared" si="39"/>
      </c>
      <c r="AT70" s="660">
        <f>IF(OR(OR(AND(C70="",D70&lt;&gt;""),AND(C70&lt;&gt;"",D70="")),AND(OR(SUM(Q70)&lt;&gt;0,SUM(R70)&lt;&gt;0,AND(U70&lt;&gt;"",U70&lt;&gt;0),AND(V70&lt;&gt;"",V70&lt;&gt;0),AND(W70&lt;&gt;"",W70&lt;&gt;0),AND(X70&lt;&gt;"",X70&lt;&gt;0),AND(Y70&lt;&gt;"",Y70&lt;&gt;0),AND(Z70&lt;&gt;"",Z70&lt;&gt;0),AND(AA70&lt;&gt;"",AA70&lt;&gt;0),AND(AB70&lt;&gt;"",AB70&lt;&gt;0),AND(AC70&lt;&gt;"",AC70&lt;&gt;0),AND(AD70&lt;&gt;"",AD70&lt;&gt;0),AE70&lt;&gt;"",AF70&lt;&gt;""),OR(C70="",D70=""))),"Error 2.11",IF(AND(C70&lt;&gt;"",ISNUMBER(D70)=FALSE),"Error 1.2",IF(AND(C70&lt;&gt;"",'Table 3a'!D71-INT('Table 3a'!D71)&lt;&gt;0),"Error 2.1",IF(AND(C70&lt;&gt;"",OR(D70&lt;2000,AND(D70&gt;3999,D70&lt;5200),AND(D70&gt;5299,D70&lt;5940),D70&gt;5949)),"Error 2.3",IF(AND(C70&lt;&gt;"",COUNTIF(startdfes:enddfes,D70)&gt;1),"Warning 1.2","")))))</f>
      </c>
      <c r="AU70" s="660">
        <f>IF(AND(OR(E70="",E70=0),C70="",D70=""),"",IF(AND(OR(C70&lt;&gt;"",D70&lt;&gt;""),E70=""),"Error 4.10.2",IF(AND(E70&lt;&gt;"",ISNUMBER(E70)=FALSE),"Error 1.2",IF(E70&lt;=0,"Error 1.4",IF('Table 3a'!AC71&lt;&gt;'Table 3a'!CA71,"Warning 2.7","")))))</f>
      </c>
      <c r="AV70" s="660">
        <f t="shared" si="40"/>
      </c>
      <c r="AW70" s="661"/>
      <c r="AX70" s="660">
        <f t="shared" si="41"/>
      </c>
      <c r="AY70" s="660">
        <f t="shared" si="42"/>
      </c>
      <c r="AZ70" s="660">
        <f t="shared" si="43"/>
      </c>
      <c r="BA70" s="660">
        <f t="shared" si="44"/>
      </c>
      <c r="BB70" s="660">
        <f t="shared" si="45"/>
      </c>
      <c r="BC70" s="660">
        <f t="shared" si="46"/>
      </c>
      <c r="BD70" s="660">
        <f t="shared" si="47"/>
      </c>
      <c r="BE70" s="660">
        <f t="shared" si="48"/>
      </c>
      <c r="BF70" s="660">
        <f t="shared" si="49"/>
      </c>
      <c r="BG70" s="660">
        <f>IF(AND(OR(Q70="",Q70=0),C70="",D70=""),"",IF(AND(OR(C70&lt;&gt;"",D70&lt;&gt;""),Q70=""),"Error 4.10.2",IF(AND(Q70&lt;&gt;"",ISNUMBER(Q70)=FALSE),"Error 1.2",IF(AND(OR(Q70&lt;10000,Q70&gt;10000000)),"Error 3.2.1",IF(ABS(('Table 3a'!BY71*2)-'Table 3a'!BZ71)&gt;50,"Error 3.7","")))))</f>
      </c>
      <c r="BH70" s="660">
        <f t="shared" si="50"/>
      </c>
      <c r="BI70" s="660">
        <f t="shared" si="51"/>
      </c>
      <c r="BJ70" s="660">
        <f t="shared" si="52"/>
      </c>
      <c r="BK70" s="660">
        <f t="shared" si="53"/>
      </c>
      <c r="BL70" s="660">
        <f t="shared" si="54"/>
      </c>
      <c r="BM70" s="663"/>
      <c r="BN70" s="660">
        <f t="shared" si="55"/>
      </c>
      <c r="BO70" s="660">
        <f t="shared" si="56"/>
      </c>
      <c r="BP70" s="660">
        <f t="shared" si="57"/>
      </c>
      <c r="BQ70" s="660">
        <f t="shared" si="58"/>
      </c>
      <c r="BR70" s="660">
        <f t="shared" si="59"/>
      </c>
      <c r="BS70" s="660">
        <f t="shared" si="60"/>
      </c>
      <c r="BT70" s="662"/>
      <c r="BU70" s="660">
        <f t="shared" si="61"/>
      </c>
      <c r="BV70" s="660">
        <f t="shared" si="62"/>
      </c>
      <c r="BW70" s="605">
        <f t="shared" si="63"/>
        <v>0</v>
      </c>
      <c r="BX70" s="660">
        <f t="shared" si="64"/>
      </c>
      <c r="BY70" s="664"/>
      <c r="BZ70" s="664"/>
      <c r="CA70" s="665"/>
      <c r="CB70" s="665"/>
      <c r="CC70" s="666"/>
      <c r="CD70" s="154"/>
      <c r="DG70" s="3"/>
    </row>
    <row r="71" spans="1:111" s="52" customFormat="1" ht="12.75">
      <c r="A71" s="681"/>
      <c r="B71" s="645">
        <f>IF('Table 3a'!B72="","",'Table 3a'!B72)</f>
        <v>53</v>
      </c>
      <c r="C71" s="644" t="str">
        <f>IF('Table 3a'!C72="","",'Table 3a'!C72)</f>
        <v>St James Church of England Voluntary Aided Junior School</v>
      </c>
      <c r="D71" s="645">
        <f>IF('Table 3a'!D72="","",'Table 3a'!D72)</f>
        <v>3304</v>
      </c>
      <c r="E71" s="646">
        <f>IF('Table 3a'!AC72="","",'Table 3a'!AC72)</f>
        <v>71230.61000000002</v>
      </c>
      <c r="F71" s="646">
        <f>IF('Table 3a'!AJ72="","",'Table 3a'!AJ72)</f>
        <v>0</v>
      </c>
      <c r="G71" s="647"/>
      <c r="H71" s="646">
        <f>IF('Table 3a'!AO72="","",'Table 3a'!AO72)</f>
        <v>0</v>
      </c>
      <c r="I71" s="646">
        <f>IF('Table 3a'!AU72="","",'Table 3a'!AU72)</f>
        <v>6557</v>
      </c>
      <c r="J71" s="646">
        <f>IF('Table 3a'!AX72="","",'Table 3a'!AX72)</f>
        <v>3265</v>
      </c>
      <c r="K71" s="646">
        <f>IF('Table 3a'!BC72="","",'Table 3a'!BC72)</f>
        <v>3929</v>
      </c>
      <c r="L71" s="646">
        <f>IF('Table 3a'!BI72="","",'Table 3a'!BI72)</f>
        <v>2559</v>
      </c>
      <c r="M71" s="646">
        <f>IF('Table 3a'!BN72="","",'Table 3a'!BN72)</f>
        <v>29250</v>
      </c>
      <c r="N71" s="646">
        <f>IF('Table 3a'!BT72="","",'Table 3a'!BT72)</f>
        <v>104288</v>
      </c>
      <c r="O71" s="646">
        <f>IF('Table 3a'!BW72="","",'Table 3a'!BW72)</f>
        <v>0</v>
      </c>
      <c r="P71" s="646">
        <f>IF('Table 3a'!BX72="","",'Table 3a'!BX72)</f>
        <v>0</v>
      </c>
      <c r="Q71" s="646">
        <f t="shared" si="36"/>
        <v>221078.61000000002</v>
      </c>
      <c r="R71" s="646">
        <f>IF('Table 3a'!AB72="","",'Table 3a'!AB72)</f>
        <v>33</v>
      </c>
      <c r="S71" s="646">
        <f t="shared" si="37"/>
        <v>6699.351818181819</v>
      </c>
      <c r="T71" s="649" t="s">
        <v>642</v>
      </c>
      <c r="U71" s="649">
        <v>20214.617018035842</v>
      </c>
      <c r="V71" s="649">
        <v>2045</v>
      </c>
      <c r="W71" s="651"/>
      <c r="X71" s="649">
        <v>3960</v>
      </c>
      <c r="Y71" s="649">
        <v>0</v>
      </c>
      <c r="Z71" s="649">
        <v>0</v>
      </c>
      <c r="AA71" s="649">
        <v>0</v>
      </c>
      <c r="AB71" s="649">
        <v>0</v>
      </c>
      <c r="AC71" s="649">
        <f t="shared" si="38"/>
        <v>9822</v>
      </c>
      <c r="AD71" s="647"/>
      <c r="AE71" s="652"/>
      <c r="AF71" s="653"/>
      <c r="AG71" s="654"/>
      <c r="AH71" s="655"/>
      <c r="AI71" s="656"/>
      <c r="AJ71" s="657"/>
      <c r="AK71" s="658"/>
      <c r="AL71" s="658"/>
      <c r="AM71" s="658"/>
      <c r="AN71" s="657"/>
      <c r="AO71" s="658"/>
      <c r="AP71" s="658"/>
      <c r="AQ71" s="658"/>
      <c r="AR71" s="682"/>
      <c r="AS71" s="660">
        <f t="shared" si="39"/>
      </c>
      <c r="AT71" s="660">
        <f>IF(OR(OR(AND(C71="",D71&lt;&gt;""),AND(C71&lt;&gt;"",D71="")),AND(OR(SUM(Q71)&lt;&gt;0,SUM(R71)&lt;&gt;0,AND(U71&lt;&gt;"",U71&lt;&gt;0),AND(V71&lt;&gt;"",V71&lt;&gt;0),AND(W71&lt;&gt;"",W71&lt;&gt;0),AND(X71&lt;&gt;"",X71&lt;&gt;0),AND(Y71&lt;&gt;"",Y71&lt;&gt;0),AND(Z71&lt;&gt;"",Z71&lt;&gt;0),AND(AA71&lt;&gt;"",AA71&lt;&gt;0),AND(AB71&lt;&gt;"",AB71&lt;&gt;0),AND(AC71&lt;&gt;"",AC71&lt;&gt;0),AND(AD71&lt;&gt;"",AD71&lt;&gt;0),AE71&lt;&gt;"",AF71&lt;&gt;""),OR(C71="",D71=""))),"Error 2.11",IF(AND(C71&lt;&gt;"",ISNUMBER(D71)=FALSE),"Error 1.2",IF(AND(C71&lt;&gt;"",'Table 3a'!D72-INT('Table 3a'!D72)&lt;&gt;0),"Error 2.1",IF(AND(C71&lt;&gt;"",OR(D71&lt;2000,AND(D71&gt;3999,D71&lt;5200),AND(D71&gt;5299,D71&lt;5940),D71&gt;5949)),"Error 2.3",IF(AND(C71&lt;&gt;"",COUNTIF(startdfes:enddfes,D71)&gt;1),"Warning 1.2","")))))</f>
      </c>
      <c r="AU71" s="660">
        <f>IF(AND(OR(E71="",E71=0),C71="",D71=""),"",IF(AND(OR(C71&lt;&gt;"",D71&lt;&gt;""),E71=""),"Error 4.10.2",IF(AND(E71&lt;&gt;"",ISNUMBER(E71)=FALSE),"Error 1.2",IF(E71&lt;=0,"Error 1.4",IF('Table 3a'!AC72&lt;&gt;'Table 3a'!CA72,"Warning 2.7","")))))</f>
      </c>
      <c r="AV71" s="660">
        <f t="shared" si="40"/>
      </c>
      <c r="AW71" s="661"/>
      <c r="AX71" s="660">
        <f t="shared" si="41"/>
      </c>
      <c r="AY71" s="660">
        <f t="shared" si="42"/>
      </c>
      <c r="AZ71" s="660">
        <f t="shared" si="43"/>
      </c>
      <c r="BA71" s="660">
        <f t="shared" si="44"/>
      </c>
      <c r="BB71" s="660">
        <f t="shared" si="45"/>
      </c>
      <c r="BC71" s="660">
        <f t="shared" si="46"/>
      </c>
      <c r="BD71" s="660">
        <f t="shared" si="47"/>
      </c>
      <c r="BE71" s="660">
        <f t="shared" si="48"/>
      </c>
      <c r="BF71" s="660">
        <f t="shared" si="49"/>
      </c>
      <c r="BG71" s="660">
        <f>IF(AND(OR(Q71="",Q71=0),C71="",D71=""),"",IF(AND(OR(C71&lt;&gt;"",D71&lt;&gt;""),Q71=""),"Error 4.10.2",IF(AND(Q71&lt;&gt;"",ISNUMBER(Q71)=FALSE),"Error 1.2",IF(AND(OR(Q71&lt;10000,Q71&gt;10000000)),"Error 3.2.1",IF(ABS(('Table 3a'!BY72*2)-'Table 3a'!BZ72)&gt;50,"Error 3.7","")))))</f>
      </c>
      <c r="BH71" s="660">
        <f t="shared" si="50"/>
      </c>
      <c r="BI71" s="660">
        <f t="shared" si="51"/>
      </c>
      <c r="BJ71" s="660">
        <f t="shared" si="52"/>
      </c>
      <c r="BK71" s="660">
        <f t="shared" si="53"/>
      </c>
      <c r="BL71" s="660">
        <f t="shared" si="54"/>
      </c>
      <c r="BM71" s="663"/>
      <c r="BN71" s="660">
        <f t="shared" si="55"/>
      </c>
      <c r="BO71" s="660">
        <f t="shared" si="56"/>
      </c>
      <c r="BP71" s="660">
        <f t="shared" si="57"/>
      </c>
      <c r="BQ71" s="660">
        <f t="shared" si="58"/>
      </c>
      <c r="BR71" s="660">
        <f t="shared" si="59"/>
      </c>
      <c r="BS71" s="660">
        <f t="shared" si="60"/>
      </c>
      <c r="BT71" s="662"/>
      <c r="BU71" s="660">
        <f t="shared" si="61"/>
      </c>
      <c r="BV71" s="660">
        <f t="shared" si="62"/>
      </c>
      <c r="BW71" s="605">
        <f t="shared" si="63"/>
        <v>0</v>
      </c>
      <c r="BX71" s="660">
        <f t="shared" si="64"/>
      </c>
      <c r="BY71" s="664"/>
      <c r="BZ71" s="664"/>
      <c r="CA71" s="665"/>
      <c r="CB71" s="665"/>
      <c r="CC71" s="666"/>
      <c r="CD71" s="154"/>
      <c r="DG71" s="3"/>
    </row>
    <row r="72" spans="1:111" s="52" customFormat="1" ht="12.75">
      <c r="A72" s="681"/>
      <c r="B72" s="645">
        <f>IF('Table 3a'!B73="","",'Table 3a'!B73)</f>
        <v>47</v>
      </c>
      <c r="C72" s="644" t="str">
        <f>IF('Table 3a'!C73="","",'Table 3a'!C73)</f>
        <v>St Alphege Church of England Junior School</v>
      </c>
      <c r="D72" s="645">
        <f>IF('Table 3a'!D73="","",'Table 3a'!D73)</f>
        <v>3305</v>
      </c>
      <c r="E72" s="646">
        <f>IF('Table 3a'!AC73="","",'Table 3a'!AC73)</f>
        <v>600113.0900000001</v>
      </c>
      <c r="F72" s="646">
        <f>IF('Table 3a'!AJ73="","",'Table 3a'!AJ73)</f>
        <v>0</v>
      </c>
      <c r="G72" s="647"/>
      <c r="H72" s="646">
        <f>IF('Table 3a'!AO73="","",'Table 3a'!AO73)</f>
        <v>0</v>
      </c>
      <c r="I72" s="646">
        <f>IF('Table 3a'!AU73="","",'Table 3a'!AU73)</f>
        <v>31055</v>
      </c>
      <c r="J72" s="646">
        <f>IF('Table 3a'!AX73="","",'Table 3a'!AX73)</f>
        <v>15378</v>
      </c>
      <c r="K72" s="646">
        <f>IF('Table 3a'!BC73="","",'Table 3a'!BC73)</f>
        <v>5927</v>
      </c>
      <c r="L72" s="646">
        <f>IF('Table 3a'!BI73="","",'Table 3a'!BI73)</f>
        <v>3555</v>
      </c>
      <c r="M72" s="646">
        <f>IF('Table 3a'!BN73="","",'Table 3a'!BN73)</f>
        <v>44158</v>
      </c>
      <c r="N72" s="646">
        <f>IF('Table 3a'!BT73="","",'Table 3a'!BT73)</f>
        <v>86685</v>
      </c>
      <c r="O72" s="646">
        <f>IF('Table 3a'!BW73="","",'Table 3a'!BW73)</f>
        <v>0</v>
      </c>
      <c r="P72" s="646">
        <f>IF('Table 3a'!BX73="","",'Table 3a'!BX73)</f>
        <v>0</v>
      </c>
      <c r="Q72" s="646">
        <f t="shared" si="36"/>
        <v>786871.0900000001</v>
      </c>
      <c r="R72" s="646">
        <f>IF('Table 3a'!AB73="","",'Table 3a'!AB73)</f>
        <v>277</v>
      </c>
      <c r="S72" s="646">
        <f t="shared" si="37"/>
        <v>2840.689855595668</v>
      </c>
      <c r="T72" s="649" t="s">
        <v>642</v>
      </c>
      <c r="U72" s="649">
        <v>46066.6687701256</v>
      </c>
      <c r="V72" s="649">
        <v>4253</v>
      </c>
      <c r="W72" s="651"/>
      <c r="X72" s="649">
        <v>16504</v>
      </c>
      <c r="Y72" s="649">
        <v>0</v>
      </c>
      <c r="Z72" s="649">
        <v>0</v>
      </c>
      <c r="AA72" s="649">
        <v>0</v>
      </c>
      <c r="AB72" s="649">
        <v>0</v>
      </c>
      <c r="AC72" s="649">
        <f t="shared" si="38"/>
        <v>46433</v>
      </c>
      <c r="AD72" s="647"/>
      <c r="AE72" s="652"/>
      <c r="AF72" s="653"/>
      <c r="AG72" s="654"/>
      <c r="AH72" s="655"/>
      <c r="AI72" s="656"/>
      <c r="AJ72" s="657"/>
      <c r="AK72" s="658"/>
      <c r="AL72" s="658"/>
      <c r="AM72" s="658"/>
      <c r="AN72" s="657"/>
      <c r="AO72" s="658"/>
      <c r="AP72" s="658"/>
      <c r="AQ72" s="658"/>
      <c r="AR72" s="682"/>
      <c r="AS72" s="660">
        <f t="shared" si="39"/>
      </c>
      <c r="AT72" s="660">
        <f>IF(OR(OR(AND(C72="",D72&lt;&gt;""),AND(C72&lt;&gt;"",D72="")),AND(OR(SUM(Q72)&lt;&gt;0,SUM(R72)&lt;&gt;0,AND(U72&lt;&gt;"",U72&lt;&gt;0),AND(V72&lt;&gt;"",V72&lt;&gt;0),AND(W72&lt;&gt;"",W72&lt;&gt;0),AND(X72&lt;&gt;"",X72&lt;&gt;0),AND(Y72&lt;&gt;"",Y72&lt;&gt;0),AND(Z72&lt;&gt;"",Z72&lt;&gt;0),AND(AA72&lt;&gt;"",AA72&lt;&gt;0),AND(AB72&lt;&gt;"",AB72&lt;&gt;0),AND(AC72&lt;&gt;"",AC72&lt;&gt;0),AND(AD72&lt;&gt;"",AD72&lt;&gt;0),AE72&lt;&gt;"",AF72&lt;&gt;""),OR(C72="",D72=""))),"Error 2.11",IF(AND(C72&lt;&gt;"",ISNUMBER(D72)=FALSE),"Error 1.2",IF(AND(C72&lt;&gt;"",'Table 3a'!D73-INT('Table 3a'!D73)&lt;&gt;0),"Error 2.1",IF(AND(C72&lt;&gt;"",OR(D72&lt;2000,AND(D72&gt;3999,D72&lt;5200),AND(D72&gt;5299,D72&lt;5940),D72&gt;5949)),"Error 2.3",IF(AND(C72&lt;&gt;"",COUNTIF(startdfes:enddfes,D72)&gt;1),"Warning 1.2","")))))</f>
      </c>
      <c r="AU72" s="660">
        <f>IF(AND(OR(E72="",E72=0),C72="",D72=""),"",IF(AND(OR(C72&lt;&gt;"",D72&lt;&gt;""),E72=""),"Error 4.10.2",IF(AND(E72&lt;&gt;"",ISNUMBER(E72)=FALSE),"Error 1.2",IF(E72&lt;=0,"Error 1.4",IF('Table 3a'!AC73&lt;&gt;'Table 3a'!CA73,"Warning 2.7","")))))</f>
      </c>
      <c r="AV72" s="660">
        <f t="shared" si="40"/>
      </c>
      <c r="AW72" s="661"/>
      <c r="AX72" s="660">
        <f t="shared" si="41"/>
      </c>
      <c r="AY72" s="660">
        <f t="shared" si="42"/>
      </c>
      <c r="AZ72" s="660">
        <f t="shared" si="43"/>
      </c>
      <c r="BA72" s="660">
        <f t="shared" si="44"/>
      </c>
      <c r="BB72" s="660">
        <f t="shared" si="45"/>
      </c>
      <c r="BC72" s="660">
        <f t="shared" si="46"/>
      </c>
      <c r="BD72" s="660">
        <f t="shared" si="47"/>
      </c>
      <c r="BE72" s="660">
        <f t="shared" si="48"/>
      </c>
      <c r="BF72" s="660">
        <f t="shared" si="49"/>
      </c>
      <c r="BG72" s="660">
        <f>IF(AND(OR(Q72="",Q72=0),C72="",D72=""),"",IF(AND(OR(C72&lt;&gt;"",D72&lt;&gt;""),Q72=""),"Error 4.10.2",IF(AND(Q72&lt;&gt;"",ISNUMBER(Q72)=FALSE),"Error 1.2",IF(AND(OR(Q72&lt;10000,Q72&gt;10000000)),"Error 3.2.1",IF(ABS(('Table 3a'!BY73*2)-'Table 3a'!BZ73)&gt;50,"Error 3.7","")))))</f>
      </c>
      <c r="BH72" s="660">
        <f t="shared" si="50"/>
      </c>
      <c r="BI72" s="660">
        <f t="shared" si="51"/>
      </c>
      <c r="BJ72" s="660">
        <f t="shared" si="52"/>
      </c>
      <c r="BK72" s="660">
        <f t="shared" si="53"/>
      </c>
      <c r="BL72" s="660">
        <f t="shared" si="54"/>
      </c>
      <c r="BM72" s="663"/>
      <c r="BN72" s="660">
        <f t="shared" si="55"/>
      </c>
      <c r="BO72" s="660">
        <f t="shared" si="56"/>
      </c>
      <c r="BP72" s="660">
        <f t="shared" si="57"/>
      </c>
      <c r="BQ72" s="660">
        <f t="shared" si="58"/>
      </c>
      <c r="BR72" s="660">
        <f t="shared" si="59"/>
      </c>
      <c r="BS72" s="660">
        <f t="shared" si="60"/>
      </c>
      <c r="BT72" s="662"/>
      <c r="BU72" s="660">
        <f t="shared" si="61"/>
      </c>
      <c r="BV72" s="660">
        <f t="shared" si="62"/>
      </c>
      <c r="BW72" s="605">
        <f t="shared" si="63"/>
        <v>0</v>
      </c>
      <c r="BX72" s="660">
        <f t="shared" si="64"/>
      </c>
      <c r="BY72" s="664"/>
      <c r="BZ72" s="664"/>
      <c r="CA72" s="665"/>
      <c r="CB72" s="665"/>
      <c r="CC72" s="666"/>
      <c r="CD72" s="154"/>
      <c r="DG72" s="3"/>
    </row>
    <row r="73" spans="1:111" s="52" customFormat="1" ht="12.75">
      <c r="A73" s="681"/>
      <c r="B73" s="645">
        <f>IF('Table 3a'!B74="","",'Table 3a'!B74)</f>
        <v>5</v>
      </c>
      <c r="C73" s="644" t="str">
        <f>IF('Table 3a'!C74="","",'Table 3a'!C74)</f>
        <v>Berkswell Church of England Voluntary Aided Primary School</v>
      </c>
      <c r="D73" s="645">
        <f>IF('Table 3a'!D74="","",'Table 3a'!D74)</f>
        <v>3310</v>
      </c>
      <c r="E73" s="646">
        <f>IF('Table 3a'!AC74="","",'Table 3a'!AC74)</f>
        <v>465314.88000000006</v>
      </c>
      <c r="F73" s="646">
        <f>IF('Table 3a'!AJ74="","",'Table 3a'!AJ74)</f>
        <v>37134</v>
      </c>
      <c r="G73" s="647"/>
      <c r="H73" s="646">
        <f>IF('Table 3a'!AO74="","",'Table 3a'!AO74)</f>
        <v>0</v>
      </c>
      <c r="I73" s="646">
        <f>IF('Table 3a'!AU74="","",'Table 3a'!AU74)</f>
        <v>20435</v>
      </c>
      <c r="J73" s="646">
        <f>IF('Table 3a'!AX74="","",'Table 3a'!AX74)</f>
        <v>3265</v>
      </c>
      <c r="K73" s="646">
        <f>IF('Table 3a'!BC74="","",'Table 3a'!BC74)</f>
        <v>6942</v>
      </c>
      <c r="L73" s="646">
        <f>IF('Table 3a'!BI74="","",'Table 3a'!BI74)</f>
        <v>3195</v>
      </c>
      <c r="M73" s="646">
        <f>IF('Table 3a'!BN74="","",'Table 3a'!BN74)</f>
        <v>29869</v>
      </c>
      <c r="N73" s="646">
        <f>IF('Table 3a'!BT74="","",'Table 3a'!BT74)</f>
        <v>107168</v>
      </c>
      <c r="O73" s="646">
        <f>IF('Table 3a'!BW74="","",'Table 3a'!BW74)</f>
        <v>0</v>
      </c>
      <c r="P73" s="646">
        <f>IF('Table 3a'!BX74="","",'Table 3a'!BX74)</f>
        <v>0</v>
      </c>
      <c r="Q73" s="646">
        <f t="shared" si="36"/>
        <v>673322.8800000001</v>
      </c>
      <c r="R73" s="646">
        <f>IF('Table 3a'!AB74="","",'Table 3a'!AB74)</f>
        <v>219</v>
      </c>
      <c r="S73" s="646">
        <f t="shared" si="37"/>
        <v>3074.5336986301377</v>
      </c>
      <c r="T73" s="649" t="s">
        <v>642</v>
      </c>
      <c r="U73" s="649">
        <v>39828.35231773737</v>
      </c>
      <c r="V73" s="649">
        <v>2903</v>
      </c>
      <c r="W73" s="651"/>
      <c r="X73" s="649">
        <v>16559</v>
      </c>
      <c r="Y73" s="649">
        <v>0</v>
      </c>
      <c r="Z73" s="649">
        <v>0</v>
      </c>
      <c r="AA73" s="649">
        <v>0</v>
      </c>
      <c r="AB73" s="649">
        <v>0</v>
      </c>
      <c r="AC73" s="649">
        <f t="shared" si="38"/>
        <v>23700</v>
      </c>
      <c r="AD73" s="647"/>
      <c r="AE73" s="652"/>
      <c r="AF73" s="653"/>
      <c r="AG73" s="654"/>
      <c r="AH73" s="655"/>
      <c r="AI73" s="656"/>
      <c r="AJ73" s="657"/>
      <c r="AK73" s="658"/>
      <c r="AL73" s="658"/>
      <c r="AM73" s="658"/>
      <c r="AN73" s="657"/>
      <c r="AO73" s="658"/>
      <c r="AP73" s="658"/>
      <c r="AQ73" s="658"/>
      <c r="AR73" s="682"/>
      <c r="AS73" s="660">
        <f t="shared" si="39"/>
      </c>
      <c r="AT73" s="660">
        <f>IF(OR(OR(AND(C73="",D73&lt;&gt;""),AND(C73&lt;&gt;"",D73="")),AND(OR(SUM(Q73)&lt;&gt;0,SUM(R73)&lt;&gt;0,AND(U73&lt;&gt;"",U73&lt;&gt;0),AND(V73&lt;&gt;"",V73&lt;&gt;0),AND(W73&lt;&gt;"",W73&lt;&gt;0),AND(X73&lt;&gt;"",X73&lt;&gt;0),AND(Y73&lt;&gt;"",Y73&lt;&gt;0),AND(Z73&lt;&gt;"",Z73&lt;&gt;0),AND(AA73&lt;&gt;"",AA73&lt;&gt;0),AND(AB73&lt;&gt;"",AB73&lt;&gt;0),AND(AC73&lt;&gt;"",AC73&lt;&gt;0),AND(AD73&lt;&gt;"",AD73&lt;&gt;0),AE73&lt;&gt;"",AF73&lt;&gt;""),OR(C73="",D73=""))),"Error 2.11",IF(AND(C73&lt;&gt;"",ISNUMBER(D73)=FALSE),"Error 1.2",IF(AND(C73&lt;&gt;"",'Table 3a'!D74-INT('Table 3a'!D74)&lt;&gt;0),"Error 2.1",IF(AND(C73&lt;&gt;"",OR(D73&lt;2000,AND(D73&gt;3999,D73&lt;5200),AND(D73&gt;5299,D73&lt;5940),D73&gt;5949)),"Error 2.3",IF(AND(C73&lt;&gt;"",COUNTIF(startdfes:enddfes,D73)&gt;1),"Warning 1.2","")))))</f>
      </c>
      <c r="AU73" s="660">
        <f>IF(AND(OR(E73="",E73=0),C73="",D73=""),"",IF(AND(OR(C73&lt;&gt;"",D73&lt;&gt;""),E73=""),"Error 4.10.2",IF(AND(E73&lt;&gt;"",ISNUMBER(E73)=FALSE),"Error 1.2",IF(E73&lt;=0,"Error 1.4",IF('Table 3a'!AC74&lt;&gt;'Table 3a'!CA74,"Warning 2.7","")))))</f>
      </c>
      <c r="AV73" s="660">
        <f t="shared" si="40"/>
      </c>
      <c r="AW73" s="661"/>
      <c r="AX73" s="660">
        <f t="shared" si="41"/>
      </c>
      <c r="AY73" s="660">
        <f t="shared" si="42"/>
      </c>
      <c r="AZ73" s="660">
        <f t="shared" si="43"/>
      </c>
      <c r="BA73" s="660">
        <f t="shared" si="44"/>
      </c>
      <c r="BB73" s="660">
        <f t="shared" si="45"/>
      </c>
      <c r="BC73" s="660">
        <f t="shared" si="46"/>
      </c>
      <c r="BD73" s="660">
        <f t="shared" si="47"/>
      </c>
      <c r="BE73" s="660">
        <f t="shared" si="48"/>
      </c>
      <c r="BF73" s="660">
        <f t="shared" si="49"/>
      </c>
      <c r="BG73" s="660">
        <f>IF(AND(OR(Q73="",Q73=0),C73="",D73=""),"",IF(AND(OR(C73&lt;&gt;"",D73&lt;&gt;""),Q73=""),"Error 4.10.2",IF(AND(Q73&lt;&gt;"",ISNUMBER(Q73)=FALSE),"Error 1.2",IF(AND(OR(Q73&lt;10000,Q73&gt;10000000)),"Error 3.2.1",IF(ABS(('Table 3a'!BY74*2)-'Table 3a'!BZ74)&gt;50,"Error 3.7","")))))</f>
      </c>
      <c r="BH73" s="660">
        <f t="shared" si="50"/>
      </c>
      <c r="BI73" s="660">
        <f t="shared" si="51"/>
      </c>
      <c r="BJ73" s="660">
        <f t="shared" si="52"/>
      </c>
      <c r="BK73" s="660">
        <f t="shared" si="53"/>
      </c>
      <c r="BL73" s="660">
        <f t="shared" si="54"/>
      </c>
      <c r="BM73" s="663"/>
      <c r="BN73" s="660">
        <f t="shared" si="55"/>
      </c>
      <c r="BO73" s="660">
        <f t="shared" si="56"/>
      </c>
      <c r="BP73" s="660">
        <f t="shared" si="57"/>
      </c>
      <c r="BQ73" s="660">
        <f t="shared" si="58"/>
      </c>
      <c r="BR73" s="660">
        <f t="shared" si="59"/>
      </c>
      <c r="BS73" s="660">
        <f t="shared" si="60"/>
      </c>
      <c r="BT73" s="662"/>
      <c r="BU73" s="660">
        <f t="shared" si="61"/>
      </c>
      <c r="BV73" s="660">
        <f t="shared" si="62"/>
      </c>
      <c r="BW73" s="605">
        <f t="shared" si="63"/>
        <v>0</v>
      </c>
      <c r="BX73" s="660">
        <f t="shared" si="64"/>
      </c>
      <c r="BY73" s="664"/>
      <c r="BZ73" s="664"/>
      <c r="CA73" s="665"/>
      <c r="CB73" s="665"/>
      <c r="CC73" s="666"/>
      <c r="CD73" s="154"/>
      <c r="DG73" s="3"/>
    </row>
    <row r="74" spans="1:111" s="52" customFormat="1" ht="12.75">
      <c r="A74" s="681"/>
      <c r="B74" s="645">
        <f>IF('Table 3a'!B75="","",'Table 3a'!B75)</f>
        <v>22</v>
      </c>
      <c r="C74" s="644" t="str">
        <f>IF('Table 3a'!C75="","",'Table 3a'!C75)</f>
        <v>George Fentham Endowed School</v>
      </c>
      <c r="D74" s="645">
        <f>IF('Table 3a'!D75="","",'Table 3a'!D75)</f>
        <v>3311</v>
      </c>
      <c r="E74" s="646">
        <f>IF('Table 3a'!AC75="","",'Table 3a'!AC75)</f>
        <v>416022.48</v>
      </c>
      <c r="F74" s="646">
        <f>IF('Table 3a'!AJ75="","",'Table 3a'!AJ75)</f>
        <v>39494</v>
      </c>
      <c r="G74" s="647"/>
      <c r="H74" s="646">
        <f>IF('Table 3a'!AO75="","",'Table 3a'!AO75)</f>
        <v>0</v>
      </c>
      <c r="I74" s="646">
        <f>IF('Table 3a'!AU75="","",'Table 3a'!AU75)</f>
        <v>39228</v>
      </c>
      <c r="J74" s="646">
        <f>IF('Table 3a'!AX75="","",'Table 3a'!AX75)</f>
        <v>22380</v>
      </c>
      <c r="K74" s="646">
        <f>IF('Table 3a'!BC75="","",'Table 3a'!BC75)</f>
        <v>7912</v>
      </c>
      <c r="L74" s="646">
        <f>IF('Table 3a'!BI75="","",'Table 3a'!BI75)</f>
        <v>6361</v>
      </c>
      <c r="M74" s="646">
        <f>IF('Table 3a'!BN75="","",'Table 3a'!BN75)</f>
        <v>38686</v>
      </c>
      <c r="N74" s="646">
        <f>IF('Table 3a'!BT75="","",'Table 3a'!BT75)</f>
        <v>116503</v>
      </c>
      <c r="O74" s="646">
        <f>IF('Table 3a'!BW75="","",'Table 3a'!BW75)</f>
        <v>0</v>
      </c>
      <c r="P74" s="646">
        <f>IF('Table 3a'!BX75="","",'Table 3a'!BX75)</f>
        <v>0</v>
      </c>
      <c r="Q74" s="646">
        <f t="shared" si="36"/>
        <v>686586.48</v>
      </c>
      <c r="R74" s="646">
        <f>IF('Table 3a'!AB75="","",'Table 3a'!AB75)</f>
        <v>197</v>
      </c>
      <c r="S74" s="646">
        <f t="shared" si="37"/>
        <v>3485.2105583756343</v>
      </c>
      <c r="T74" s="649" t="s">
        <v>642</v>
      </c>
      <c r="U74" s="649">
        <v>37998.46839935311</v>
      </c>
      <c r="V74" s="649">
        <v>5529</v>
      </c>
      <c r="W74" s="651"/>
      <c r="X74" s="649">
        <v>26207</v>
      </c>
      <c r="Y74" s="649">
        <v>0</v>
      </c>
      <c r="Z74" s="649">
        <v>0</v>
      </c>
      <c r="AA74" s="649">
        <v>0</v>
      </c>
      <c r="AB74" s="649">
        <v>0</v>
      </c>
      <c r="AC74" s="649">
        <f t="shared" si="38"/>
        <v>61608</v>
      </c>
      <c r="AD74" s="647"/>
      <c r="AE74" s="652"/>
      <c r="AF74" s="653"/>
      <c r="AG74" s="654"/>
      <c r="AH74" s="655"/>
      <c r="AI74" s="656"/>
      <c r="AJ74" s="657"/>
      <c r="AK74" s="658"/>
      <c r="AL74" s="658"/>
      <c r="AM74" s="658"/>
      <c r="AN74" s="657"/>
      <c r="AO74" s="658"/>
      <c r="AP74" s="658"/>
      <c r="AQ74" s="658"/>
      <c r="AR74" s="682"/>
      <c r="AS74" s="660">
        <f t="shared" si="39"/>
      </c>
      <c r="AT74" s="660">
        <f>IF(OR(OR(AND(C74="",D74&lt;&gt;""),AND(C74&lt;&gt;"",D74="")),AND(OR(SUM(Q74)&lt;&gt;0,SUM(R74)&lt;&gt;0,AND(U74&lt;&gt;"",U74&lt;&gt;0),AND(V74&lt;&gt;"",V74&lt;&gt;0),AND(W74&lt;&gt;"",W74&lt;&gt;0),AND(X74&lt;&gt;"",X74&lt;&gt;0),AND(Y74&lt;&gt;"",Y74&lt;&gt;0),AND(Z74&lt;&gt;"",Z74&lt;&gt;0),AND(AA74&lt;&gt;"",AA74&lt;&gt;0),AND(AB74&lt;&gt;"",AB74&lt;&gt;0),AND(AC74&lt;&gt;"",AC74&lt;&gt;0),AND(AD74&lt;&gt;"",AD74&lt;&gt;0),AE74&lt;&gt;"",AF74&lt;&gt;""),OR(C74="",D74=""))),"Error 2.11",IF(AND(C74&lt;&gt;"",ISNUMBER(D74)=FALSE),"Error 1.2",IF(AND(C74&lt;&gt;"",'Table 3a'!D75-INT('Table 3a'!D75)&lt;&gt;0),"Error 2.1",IF(AND(C74&lt;&gt;"",OR(D74&lt;2000,AND(D74&gt;3999,D74&lt;5200),AND(D74&gt;5299,D74&lt;5940),D74&gt;5949)),"Error 2.3",IF(AND(C74&lt;&gt;"",COUNTIF(startdfes:enddfes,D74)&gt;1),"Warning 1.2","")))))</f>
      </c>
      <c r="AU74" s="660">
        <f>IF(AND(OR(E74="",E74=0),C74="",D74=""),"",IF(AND(OR(C74&lt;&gt;"",D74&lt;&gt;""),E74=""),"Error 4.10.2",IF(AND(E74&lt;&gt;"",ISNUMBER(E74)=FALSE),"Error 1.2",IF(E74&lt;=0,"Error 1.4",IF('Table 3a'!AC75&lt;&gt;'Table 3a'!CA75,"Warning 2.7","")))))</f>
      </c>
      <c r="AV74" s="660">
        <f t="shared" si="40"/>
      </c>
      <c r="AW74" s="661"/>
      <c r="AX74" s="660">
        <f t="shared" si="41"/>
      </c>
      <c r="AY74" s="660">
        <f t="shared" si="42"/>
      </c>
      <c r="AZ74" s="660">
        <f t="shared" si="43"/>
      </c>
      <c r="BA74" s="660">
        <f t="shared" si="44"/>
      </c>
      <c r="BB74" s="660">
        <f t="shared" si="45"/>
      </c>
      <c r="BC74" s="660">
        <f t="shared" si="46"/>
      </c>
      <c r="BD74" s="660">
        <f t="shared" si="47"/>
      </c>
      <c r="BE74" s="660">
        <f t="shared" si="48"/>
      </c>
      <c r="BF74" s="660">
        <f t="shared" si="49"/>
      </c>
      <c r="BG74" s="660">
        <f>IF(AND(OR(Q74="",Q74=0),C74="",D74=""),"",IF(AND(OR(C74&lt;&gt;"",D74&lt;&gt;""),Q74=""),"Error 4.10.2",IF(AND(Q74&lt;&gt;"",ISNUMBER(Q74)=FALSE),"Error 1.2",IF(AND(OR(Q74&lt;10000,Q74&gt;10000000)),"Error 3.2.1",IF(ABS(('Table 3a'!BY75*2)-'Table 3a'!BZ75)&gt;50,"Error 3.7","")))))</f>
      </c>
      <c r="BH74" s="660">
        <f t="shared" si="50"/>
      </c>
      <c r="BI74" s="660">
        <f t="shared" si="51"/>
      </c>
      <c r="BJ74" s="660">
        <f t="shared" si="52"/>
      </c>
      <c r="BK74" s="660">
        <f t="shared" si="53"/>
      </c>
      <c r="BL74" s="660">
        <f t="shared" si="54"/>
      </c>
      <c r="BM74" s="663"/>
      <c r="BN74" s="660">
        <f t="shared" si="55"/>
      </c>
      <c r="BO74" s="660">
        <f t="shared" si="56"/>
      </c>
      <c r="BP74" s="660">
        <f t="shared" si="57"/>
      </c>
      <c r="BQ74" s="660">
        <f t="shared" si="58"/>
      </c>
      <c r="BR74" s="660">
        <f t="shared" si="59"/>
      </c>
      <c r="BS74" s="660">
        <f t="shared" si="60"/>
      </c>
      <c r="BT74" s="662"/>
      <c r="BU74" s="660">
        <f t="shared" si="61"/>
      </c>
      <c r="BV74" s="660">
        <f t="shared" si="62"/>
      </c>
      <c r="BW74" s="605">
        <f t="shared" si="63"/>
        <v>0</v>
      </c>
      <c r="BX74" s="660">
        <f t="shared" si="64"/>
      </c>
      <c r="BY74" s="664"/>
      <c r="BZ74" s="664"/>
      <c r="CA74" s="665"/>
      <c r="CB74" s="665"/>
      <c r="CC74" s="666"/>
      <c r="CD74" s="154"/>
      <c r="DG74" s="3"/>
    </row>
    <row r="75" spans="1:111" s="52" customFormat="1" ht="12.75">
      <c r="A75" s="681"/>
      <c r="B75" s="645">
        <f>IF('Table 3a'!B76="","",'Table 3a'!B76)</f>
        <v>33</v>
      </c>
      <c r="C75" s="644" t="str">
        <f>IF('Table 3a'!C76="","",'Table 3a'!C76)</f>
        <v>Lady Katherine Leveson Church of England School</v>
      </c>
      <c r="D75" s="645">
        <f>IF('Table 3a'!D76="","",'Table 3a'!D76)</f>
        <v>3312</v>
      </c>
      <c r="E75" s="646">
        <f>IF('Table 3a'!AC76="","",'Table 3a'!AC76)</f>
        <v>301126.33</v>
      </c>
      <c r="F75" s="646">
        <f>IF('Table 3a'!AJ76="","",'Table 3a'!AJ76)</f>
        <v>60456</v>
      </c>
      <c r="G75" s="647"/>
      <c r="H75" s="646">
        <f>IF('Table 3a'!AO76="","",'Table 3a'!AO76)</f>
        <v>0</v>
      </c>
      <c r="I75" s="646">
        <f>IF('Table 3a'!AU76="","",'Table 3a'!AU76)</f>
        <v>29058</v>
      </c>
      <c r="J75" s="646">
        <f>IF('Table 3a'!AX76="","",'Table 3a'!AX76)</f>
        <v>6540</v>
      </c>
      <c r="K75" s="646">
        <f>IF('Table 3a'!BC76="","",'Table 3a'!BC76)</f>
        <v>7945</v>
      </c>
      <c r="L75" s="646">
        <f>IF('Table 3a'!BI76="","",'Table 3a'!BI76)</f>
        <v>4269</v>
      </c>
      <c r="M75" s="646">
        <f>IF('Table 3a'!BN76="","",'Table 3a'!BN76)</f>
        <v>22688</v>
      </c>
      <c r="N75" s="646">
        <f>IF('Table 3a'!BT76="","",'Table 3a'!BT76)</f>
        <v>122794</v>
      </c>
      <c r="O75" s="646">
        <f>IF('Table 3a'!BW76="","",'Table 3a'!BW76)</f>
        <v>0</v>
      </c>
      <c r="P75" s="646">
        <f>IF('Table 3a'!BX76="","",'Table 3a'!BX76)</f>
        <v>0</v>
      </c>
      <c r="Q75" s="646">
        <f t="shared" si="36"/>
        <v>554876.3300000001</v>
      </c>
      <c r="R75" s="646">
        <f>IF('Table 3a'!AB76="","",'Table 3a'!AB76)</f>
        <v>140.5</v>
      </c>
      <c r="S75" s="646">
        <f t="shared" si="37"/>
        <v>3949.2977224199294</v>
      </c>
      <c r="T75" s="649" t="s">
        <v>642</v>
      </c>
      <c r="U75" s="649">
        <v>28860</v>
      </c>
      <c r="V75" s="649">
        <v>3091</v>
      </c>
      <c r="W75" s="651"/>
      <c r="X75" s="649">
        <v>17835</v>
      </c>
      <c r="Y75" s="649">
        <v>0</v>
      </c>
      <c r="Z75" s="649">
        <v>0</v>
      </c>
      <c r="AA75" s="649">
        <v>0</v>
      </c>
      <c r="AB75" s="649">
        <v>0</v>
      </c>
      <c r="AC75" s="649">
        <f t="shared" si="38"/>
        <v>35598</v>
      </c>
      <c r="AD75" s="647"/>
      <c r="AE75" s="652"/>
      <c r="AF75" s="653"/>
      <c r="AG75" s="654"/>
      <c r="AH75" s="655"/>
      <c r="AI75" s="656"/>
      <c r="AJ75" s="657"/>
      <c r="AK75" s="658"/>
      <c r="AL75" s="658"/>
      <c r="AM75" s="658"/>
      <c r="AN75" s="657"/>
      <c r="AO75" s="658"/>
      <c r="AP75" s="658"/>
      <c r="AQ75" s="658"/>
      <c r="AR75" s="682"/>
      <c r="AS75" s="660">
        <f t="shared" si="39"/>
      </c>
      <c r="AT75" s="660">
        <f>IF(OR(OR(AND(C75="",D75&lt;&gt;""),AND(C75&lt;&gt;"",D75="")),AND(OR(SUM(Q75)&lt;&gt;0,SUM(R75)&lt;&gt;0,AND(U75&lt;&gt;"",U75&lt;&gt;0),AND(V75&lt;&gt;"",V75&lt;&gt;0),AND(W75&lt;&gt;"",W75&lt;&gt;0),AND(X75&lt;&gt;"",X75&lt;&gt;0),AND(Y75&lt;&gt;"",Y75&lt;&gt;0),AND(Z75&lt;&gt;"",Z75&lt;&gt;0),AND(AA75&lt;&gt;"",AA75&lt;&gt;0),AND(AB75&lt;&gt;"",AB75&lt;&gt;0),AND(AC75&lt;&gt;"",AC75&lt;&gt;0),AND(AD75&lt;&gt;"",AD75&lt;&gt;0),AE75&lt;&gt;"",AF75&lt;&gt;""),OR(C75="",D75=""))),"Error 2.11",IF(AND(C75&lt;&gt;"",ISNUMBER(D75)=FALSE),"Error 1.2",IF(AND(C75&lt;&gt;"",'Table 3a'!D76-INT('Table 3a'!D76)&lt;&gt;0),"Error 2.1",IF(AND(C75&lt;&gt;"",OR(D75&lt;2000,AND(D75&gt;3999,D75&lt;5200),AND(D75&gt;5299,D75&lt;5940),D75&gt;5949)),"Error 2.3",IF(AND(C75&lt;&gt;"",COUNTIF(startdfes:enddfes,D75)&gt;1),"Warning 1.2","")))))</f>
      </c>
      <c r="AU75" s="660">
        <f>IF(AND(OR(E75="",E75=0),C75="",D75=""),"",IF(AND(OR(C75&lt;&gt;"",D75&lt;&gt;""),E75=""),"Error 4.10.2",IF(AND(E75&lt;&gt;"",ISNUMBER(E75)=FALSE),"Error 1.2",IF(E75&lt;=0,"Error 1.4",IF('Table 3a'!AC76&lt;&gt;'Table 3a'!CA76,"Warning 2.7","")))))</f>
      </c>
      <c r="AV75" s="660">
        <f t="shared" si="40"/>
      </c>
      <c r="AW75" s="661"/>
      <c r="AX75" s="660">
        <f t="shared" si="41"/>
      </c>
      <c r="AY75" s="660">
        <f t="shared" si="42"/>
      </c>
      <c r="AZ75" s="660">
        <f t="shared" si="43"/>
      </c>
      <c r="BA75" s="660">
        <f t="shared" si="44"/>
      </c>
      <c r="BB75" s="660">
        <f t="shared" si="45"/>
      </c>
      <c r="BC75" s="660">
        <f t="shared" si="46"/>
      </c>
      <c r="BD75" s="660">
        <f t="shared" si="47"/>
      </c>
      <c r="BE75" s="660">
        <f t="shared" si="48"/>
      </c>
      <c r="BF75" s="660">
        <f t="shared" si="49"/>
      </c>
      <c r="BG75" s="660">
        <f>IF(AND(OR(Q75="",Q75=0),C75="",D75=""),"",IF(AND(OR(C75&lt;&gt;"",D75&lt;&gt;""),Q75=""),"Error 4.10.2",IF(AND(Q75&lt;&gt;"",ISNUMBER(Q75)=FALSE),"Error 1.2",IF(AND(OR(Q75&lt;10000,Q75&gt;10000000)),"Error 3.2.1",IF(ABS(('Table 3a'!BY76*2)-'Table 3a'!BZ76)&gt;50,"Error 3.7","")))))</f>
      </c>
      <c r="BH75" s="660">
        <f t="shared" si="50"/>
      </c>
      <c r="BI75" s="660">
        <f t="shared" si="51"/>
      </c>
      <c r="BJ75" s="660">
        <f t="shared" si="52"/>
      </c>
      <c r="BK75" s="660">
        <f t="shared" si="53"/>
      </c>
      <c r="BL75" s="660">
        <f t="shared" si="54"/>
      </c>
      <c r="BM75" s="663"/>
      <c r="BN75" s="660">
        <f t="shared" si="55"/>
      </c>
      <c r="BO75" s="660">
        <f t="shared" si="56"/>
      </c>
      <c r="BP75" s="660">
        <f t="shared" si="57"/>
      </c>
      <c r="BQ75" s="660">
        <f t="shared" si="58"/>
      </c>
      <c r="BR75" s="660">
        <f t="shared" si="59"/>
      </c>
      <c r="BS75" s="660">
        <f t="shared" si="60"/>
      </c>
      <c r="BT75" s="662"/>
      <c r="BU75" s="660">
        <f t="shared" si="61"/>
      </c>
      <c r="BV75" s="660">
        <f t="shared" si="62"/>
      </c>
      <c r="BW75" s="605">
        <f t="shared" si="63"/>
        <v>0</v>
      </c>
      <c r="BX75" s="660">
        <f t="shared" si="64"/>
      </c>
      <c r="BY75" s="664"/>
      <c r="BZ75" s="664"/>
      <c r="CA75" s="665"/>
      <c r="CB75" s="665"/>
      <c r="CC75" s="666"/>
      <c r="CD75" s="154"/>
      <c r="DG75" s="3"/>
    </row>
    <row r="76" spans="1:111" s="52" customFormat="1" ht="12.75">
      <c r="A76" s="681"/>
      <c r="B76" s="645">
        <f>IF('Table 3a'!B77="","",'Table 3a'!B77)</f>
        <v>57</v>
      </c>
      <c r="C76" s="644" t="str">
        <f>IF('Table 3a'!C77="","",'Table 3a'!C77)</f>
        <v>St Patrick's CofE (Aided) Junior and Infant School</v>
      </c>
      <c r="D76" s="645">
        <f>IF('Table 3a'!D77="","",'Table 3a'!D77)</f>
        <v>3313</v>
      </c>
      <c r="E76" s="646">
        <f>IF('Table 3a'!AC77="","",'Table 3a'!AC77)</f>
        <v>528569.65</v>
      </c>
      <c r="F76" s="646">
        <f>IF('Table 3a'!AJ77="","",'Table 3a'!AJ77)</f>
        <v>57194</v>
      </c>
      <c r="G76" s="647"/>
      <c r="H76" s="646">
        <f>IF('Table 3a'!AO77="","",'Table 3a'!AO77)</f>
        <v>0</v>
      </c>
      <c r="I76" s="646">
        <f>IF('Table 3a'!AU77="","",'Table 3a'!AU77)</f>
        <v>14400</v>
      </c>
      <c r="J76" s="646">
        <f>IF('Table 3a'!AX77="","",'Table 3a'!AX77)</f>
        <v>3265</v>
      </c>
      <c r="K76" s="646">
        <f>IF('Table 3a'!BC77="","",'Table 3a'!BC77)</f>
        <v>5216</v>
      </c>
      <c r="L76" s="646">
        <f>IF('Table 3a'!BI77="","",'Table 3a'!BI77)</f>
        <v>2606</v>
      </c>
      <c r="M76" s="646">
        <f>IF('Table 3a'!BN77="","",'Table 3a'!BN77)</f>
        <v>39063</v>
      </c>
      <c r="N76" s="646">
        <f>IF('Table 3a'!BT77="","",'Table 3a'!BT77)</f>
        <v>93321</v>
      </c>
      <c r="O76" s="646">
        <f>IF('Table 3a'!BW77="","",'Table 3a'!BW77)</f>
        <v>0</v>
      </c>
      <c r="P76" s="646">
        <f>IF('Table 3a'!BX77="","",'Table 3a'!BX77)</f>
        <v>0</v>
      </c>
      <c r="Q76" s="646">
        <f t="shared" si="36"/>
        <v>743634.65</v>
      </c>
      <c r="R76" s="646">
        <f>IF('Table 3a'!AB77="","",'Table 3a'!AB77)</f>
        <v>248</v>
      </c>
      <c r="S76" s="646">
        <f t="shared" si="37"/>
        <v>2998.526814516129</v>
      </c>
      <c r="T76" s="649" t="s">
        <v>642</v>
      </c>
      <c r="U76" s="649">
        <v>42498.23468799999</v>
      </c>
      <c r="V76" s="649">
        <v>1968</v>
      </c>
      <c r="W76" s="651"/>
      <c r="X76" s="649">
        <v>16280</v>
      </c>
      <c r="Y76" s="649">
        <v>0</v>
      </c>
      <c r="Z76" s="649">
        <v>0</v>
      </c>
      <c r="AA76" s="649">
        <v>0</v>
      </c>
      <c r="AB76" s="649">
        <v>0</v>
      </c>
      <c r="AC76" s="649">
        <f t="shared" si="38"/>
        <v>17665</v>
      </c>
      <c r="AD76" s="647"/>
      <c r="AE76" s="652"/>
      <c r="AF76" s="653"/>
      <c r="AG76" s="654"/>
      <c r="AH76" s="655"/>
      <c r="AI76" s="656"/>
      <c r="AJ76" s="657"/>
      <c r="AK76" s="658"/>
      <c r="AL76" s="658"/>
      <c r="AM76" s="658"/>
      <c r="AN76" s="657"/>
      <c r="AO76" s="658"/>
      <c r="AP76" s="658"/>
      <c r="AQ76" s="658"/>
      <c r="AR76" s="682"/>
      <c r="AS76" s="660">
        <f t="shared" si="39"/>
      </c>
      <c r="AT76" s="660">
        <f>IF(OR(OR(AND(C76="",D76&lt;&gt;""),AND(C76&lt;&gt;"",D76="")),AND(OR(SUM(Q76)&lt;&gt;0,SUM(R76)&lt;&gt;0,AND(U76&lt;&gt;"",U76&lt;&gt;0),AND(V76&lt;&gt;"",V76&lt;&gt;0),AND(W76&lt;&gt;"",W76&lt;&gt;0),AND(X76&lt;&gt;"",X76&lt;&gt;0),AND(Y76&lt;&gt;"",Y76&lt;&gt;0),AND(Z76&lt;&gt;"",Z76&lt;&gt;0),AND(AA76&lt;&gt;"",AA76&lt;&gt;0),AND(AB76&lt;&gt;"",AB76&lt;&gt;0),AND(AC76&lt;&gt;"",AC76&lt;&gt;0),AND(AD76&lt;&gt;"",AD76&lt;&gt;0),AE76&lt;&gt;"",AF76&lt;&gt;""),OR(C76="",D76=""))),"Error 2.11",IF(AND(C76&lt;&gt;"",ISNUMBER(D76)=FALSE),"Error 1.2",IF(AND(C76&lt;&gt;"",'Table 3a'!D77-INT('Table 3a'!D77)&lt;&gt;0),"Error 2.1",IF(AND(C76&lt;&gt;"",OR(D76&lt;2000,AND(D76&gt;3999,D76&lt;5200),AND(D76&gt;5299,D76&lt;5940),D76&gt;5949)),"Error 2.3",IF(AND(C76&lt;&gt;"",COUNTIF(startdfes:enddfes,D76)&gt;1),"Warning 1.2","")))))</f>
      </c>
      <c r="AU76" s="660">
        <f>IF(AND(OR(E76="",E76=0),C76="",D76=""),"",IF(AND(OR(C76&lt;&gt;"",D76&lt;&gt;""),E76=""),"Error 4.10.2",IF(AND(E76&lt;&gt;"",ISNUMBER(E76)=FALSE),"Error 1.2",IF(E76&lt;=0,"Error 1.4",IF('Table 3a'!AC77&lt;&gt;'Table 3a'!CA77,"Warning 2.7","")))))</f>
      </c>
      <c r="AV76" s="660">
        <f t="shared" si="40"/>
      </c>
      <c r="AW76" s="661"/>
      <c r="AX76" s="660">
        <f t="shared" si="41"/>
      </c>
      <c r="AY76" s="660">
        <f t="shared" si="42"/>
      </c>
      <c r="AZ76" s="660">
        <f t="shared" si="43"/>
      </c>
      <c r="BA76" s="660">
        <f t="shared" si="44"/>
      </c>
      <c r="BB76" s="660">
        <f t="shared" si="45"/>
      </c>
      <c r="BC76" s="660">
        <f t="shared" si="46"/>
      </c>
      <c r="BD76" s="660">
        <f t="shared" si="47"/>
      </c>
      <c r="BE76" s="660">
        <f t="shared" si="48"/>
      </c>
      <c r="BF76" s="660">
        <f t="shared" si="49"/>
      </c>
      <c r="BG76" s="660">
        <f>IF(AND(OR(Q76="",Q76=0),C76="",D76=""),"",IF(AND(OR(C76&lt;&gt;"",D76&lt;&gt;""),Q76=""),"Error 4.10.2",IF(AND(Q76&lt;&gt;"",ISNUMBER(Q76)=FALSE),"Error 1.2",IF(AND(OR(Q76&lt;10000,Q76&gt;10000000)),"Error 3.2.1",IF(ABS(('Table 3a'!BY77*2)-'Table 3a'!BZ77)&gt;50,"Error 3.7","")))))</f>
      </c>
      <c r="BH76" s="660">
        <f t="shared" si="50"/>
      </c>
      <c r="BI76" s="660">
        <f t="shared" si="51"/>
      </c>
      <c r="BJ76" s="660">
        <f t="shared" si="52"/>
      </c>
      <c r="BK76" s="660">
        <f t="shared" si="53"/>
      </c>
      <c r="BL76" s="660">
        <f t="shared" si="54"/>
      </c>
      <c r="BM76" s="663"/>
      <c r="BN76" s="660">
        <f t="shared" si="55"/>
      </c>
      <c r="BO76" s="660">
        <f t="shared" si="56"/>
      </c>
      <c r="BP76" s="660">
        <f t="shared" si="57"/>
      </c>
      <c r="BQ76" s="660">
        <f t="shared" si="58"/>
      </c>
      <c r="BR76" s="660">
        <f t="shared" si="59"/>
      </c>
      <c r="BS76" s="660">
        <f t="shared" si="60"/>
      </c>
      <c r="BT76" s="662"/>
      <c r="BU76" s="660">
        <f t="shared" si="61"/>
      </c>
      <c r="BV76" s="660">
        <f t="shared" si="62"/>
      </c>
      <c r="BW76" s="605">
        <f t="shared" si="63"/>
        <v>0</v>
      </c>
      <c r="BX76" s="660">
        <f t="shared" si="64"/>
      </c>
      <c r="BY76" s="664"/>
      <c r="BZ76" s="664"/>
      <c r="CA76" s="665"/>
      <c r="CB76" s="665"/>
      <c r="CC76" s="666"/>
      <c r="CD76" s="154"/>
      <c r="DG76" s="3"/>
    </row>
    <row r="77" spans="1:111" s="52" customFormat="1" ht="12.75">
      <c r="A77" s="681"/>
      <c r="B77" s="645">
        <f>IF('Table 3a'!B78="","",'Table 3a'!B78)</f>
        <v>56</v>
      </c>
      <c r="C77" s="644" t="str">
        <f>IF('Table 3a'!C78="","",'Table 3a'!C78)</f>
        <v>St Mary and St Margaret's Church of England Aided Primary School</v>
      </c>
      <c r="D77" s="645">
        <f>IF('Table 3a'!D78="","",'Table 3a'!D78)</f>
        <v>3314</v>
      </c>
      <c r="E77" s="646">
        <f>IF('Table 3a'!AC78="","",'Table 3a'!AC78)</f>
        <v>484688.17</v>
      </c>
      <c r="F77" s="646">
        <f>IF('Table 3a'!AJ78="","",'Table 3a'!AJ78)</f>
        <v>60734</v>
      </c>
      <c r="G77" s="647"/>
      <c r="H77" s="646">
        <f>IF('Table 3a'!AO78="","",'Table 3a'!AO78)</f>
        <v>0</v>
      </c>
      <c r="I77" s="646">
        <f>IF('Table 3a'!AU78="","",'Table 3a'!AU78)</f>
        <v>40473</v>
      </c>
      <c r="J77" s="646">
        <f>IF('Table 3a'!AX78="","",'Table 3a'!AX78)</f>
        <v>13862</v>
      </c>
      <c r="K77" s="646">
        <f>IF('Table 3a'!BC78="","",'Table 3a'!BC78)</f>
        <v>11951</v>
      </c>
      <c r="L77" s="646">
        <f>IF('Table 3a'!BI78="","",'Table 3a'!BI78)</f>
        <v>8944</v>
      </c>
      <c r="M77" s="646">
        <f>IF('Table 3a'!BN78="","",'Table 3a'!BN78)</f>
        <v>32897</v>
      </c>
      <c r="N77" s="646">
        <f>IF('Table 3a'!BT78="","",'Table 3a'!BT78)</f>
        <v>103404</v>
      </c>
      <c r="O77" s="646">
        <f>IF('Table 3a'!BW78="","",'Table 3a'!BW78)</f>
        <v>0</v>
      </c>
      <c r="P77" s="646">
        <f>IF('Table 3a'!BX78="","",'Table 3a'!BX78)</f>
        <v>20449</v>
      </c>
      <c r="Q77" s="646">
        <f t="shared" si="36"/>
        <v>777402.1699999999</v>
      </c>
      <c r="R77" s="646">
        <f>IF('Table 3a'!AB78="","",'Table 3a'!AB78)</f>
        <v>228</v>
      </c>
      <c r="S77" s="646">
        <f t="shared" si="37"/>
        <v>3409.658640350877</v>
      </c>
      <c r="T77" s="649" t="s">
        <v>642</v>
      </c>
      <c r="U77" s="649">
        <v>40417.860540972964</v>
      </c>
      <c r="V77" s="649">
        <v>4872</v>
      </c>
      <c r="W77" s="651"/>
      <c r="X77" s="649">
        <v>25022</v>
      </c>
      <c r="Y77" s="649">
        <v>0</v>
      </c>
      <c r="Z77" s="649">
        <v>0</v>
      </c>
      <c r="AA77" s="649">
        <v>0</v>
      </c>
      <c r="AB77" s="649">
        <v>0</v>
      </c>
      <c r="AC77" s="649">
        <f t="shared" si="38"/>
        <v>54335</v>
      </c>
      <c r="AD77" s="647"/>
      <c r="AE77" s="652"/>
      <c r="AF77" s="653"/>
      <c r="AG77" s="654"/>
      <c r="AH77" s="655"/>
      <c r="AI77" s="656"/>
      <c r="AJ77" s="657"/>
      <c r="AK77" s="658"/>
      <c r="AL77" s="658"/>
      <c r="AM77" s="658"/>
      <c r="AN77" s="657"/>
      <c r="AO77" s="658"/>
      <c r="AP77" s="658"/>
      <c r="AQ77" s="658"/>
      <c r="AR77" s="682"/>
      <c r="AS77" s="660">
        <f t="shared" si="39"/>
      </c>
      <c r="AT77" s="660">
        <f>IF(OR(OR(AND(C77="",D77&lt;&gt;""),AND(C77&lt;&gt;"",D77="")),AND(OR(SUM(Q77)&lt;&gt;0,SUM(R77)&lt;&gt;0,AND(U77&lt;&gt;"",U77&lt;&gt;0),AND(V77&lt;&gt;"",V77&lt;&gt;0),AND(W77&lt;&gt;"",W77&lt;&gt;0),AND(X77&lt;&gt;"",X77&lt;&gt;0),AND(Y77&lt;&gt;"",Y77&lt;&gt;0),AND(Z77&lt;&gt;"",Z77&lt;&gt;0),AND(AA77&lt;&gt;"",AA77&lt;&gt;0),AND(AB77&lt;&gt;"",AB77&lt;&gt;0),AND(AC77&lt;&gt;"",AC77&lt;&gt;0),AND(AD77&lt;&gt;"",AD77&lt;&gt;0),AE77&lt;&gt;"",AF77&lt;&gt;""),OR(C77="",D77=""))),"Error 2.11",IF(AND(C77&lt;&gt;"",ISNUMBER(D77)=FALSE),"Error 1.2",IF(AND(C77&lt;&gt;"",'Table 3a'!D78-INT('Table 3a'!D78)&lt;&gt;0),"Error 2.1",IF(AND(C77&lt;&gt;"",OR(D77&lt;2000,AND(D77&gt;3999,D77&lt;5200),AND(D77&gt;5299,D77&lt;5940),D77&gt;5949)),"Error 2.3",IF(AND(C77&lt;&gt;"",COUNTIF(startdfes:enddfes,D77)&gt;1),"Warning 1.2","")))))</f>
      </c>
      <c r="AU77" s="660">
        <f>IF(AND(OR(E77="",E77=0),C77="",D77=""),"",IF(AND(OR(C77&lt;&gt;"",D77&lt;&gt;""),E77=""),"Error 4.10.2",IF(AND(E77&lt;&gt;"",ISNUMBER(E77)=FALSE),"Error 1.2",IF(E77&lt;=0,"Error 1.4",IF('Table 3a'!AC78&lt;&gt;'Table 3a'!CA78,"Warning 2.7","")))))</f>
      </c>
      <c r="AV77" s="660">
        <f t="shared" si="40"/>
      </c>
      <c r="AW77" s="661"/>
      <c r="AX77" s="660">
        <f t="shared" si="41"/>
      </c>
      <c r="AY77" s="660">
        <f t="shared" si="42"/>
      </c>
      <c r="AZ77" s="660">
        <f t="shared" si="43"/>
      </c>
      <c r="BA77" s="660">
        <f t="shared" si="44"/>
      </c>
      <c r="BB77" s="660">
        <f t="shared" si="45"/>
      </c>
      <c r="BC77" s="660">
        <f t="shared" si="46"/>
      </c>
      <c r="BD77" s="660">
        <f t="shared" si="47"/>
      </c>
      <c r="BE77" s="660">
        <f t="shared" si="48"/>
      </c>
      <c r="BF77" s="660">
        <f t="shared" si="49"/>
      </c>
      <c r="BG77" s="660">
        <f>IF(AND(OR(Q77="",Q77=0),C77="",D77=""),"",IF(AND(OR(C77&lt;&gt;"",D77&lt;&gt;""),Q77=""),"Error 4.10.2",IF(AND(Q77&lt;&gt;"",ISNUMBER(Q77)=FALSE),"Error 1.2",IF(AND(OR(Q77&lt;10000,Q77&gt;10000000)),"Error 3.2.1",IF(ABS(('Table 3a'!BY78*2)-'Table 3a'!BZ78)&gt;50,"Error 3.7","")))))</f>
      </c>
      <c r="BH77" s="660">
        <f t="shared" si="50"/>
      </c>
      <c r="BI77" s="660">
        <f t="shared" si="51"/>
      </c>
      <c r="BJ77" s="660">
        <f t="shared" si="52"/>
      </c>
      <c r="BK77" s="660">
        <f t="shared" si="53"/>
      </c>
      <c r="BL77" s="660">
        <f t="shared" si="54"/>
      </c>
      <c r="BM77" s="663"/>
      <c r="BN77" s="660">
        <f t="shared" si="55"/>
      </c>
      <c r="BO77" s="660">
        <f t="shared" si="56"/>
      </c>
      <c r="BP77" s="660">
        <f t="shared" si="57"/>
      </c>
      <c r="BQ77" s="660">
        <f t="shared" si="58"/>
      </c>
      <c r="BR77" s="660">
        <f t="shared" si="59"/>
      </c>
      <c r="BS77" s="660">
        <f t="shared" si="60"/>
      </c>
      <c r="BT77" s="662"/>
      <c r="BU77" s="660">
        <f t="shared" si="61"/>
      </c>
      <c r="BV77" s="660">
        <f t="shared" si="62"/>
      </c>
      <c r="BW77" s="605">
        <f t="shared" si="63"/>
        <v>0</v>
      </c>
      <c r="BX77" s="660">
        <f t="shared" si="64"/>
      </c>
      <c r="BY77" s="664"/>
      <c r="BZ77" s="664"/>
      <c r="CA77" s="665"/>
      <c r="CB77" s="665"/>
      <c r="CC77" s="666"/>
      <c r="CD77" s="154"/>
      <c r="DG77" s="3"/>
    </row>
    <row r="78" spans="1:111" s="52" customFormat="1" ht="12.75">
      <c r="A78" s="681"/>
      <c r="B78" s="645">
        <f>IF('Table 3a'!B79="","",'Table 3a'!B79)</f>
        <v>42</v>
      </c>
      <c r="C78" s="644" t="str">
        <f>IF('Table 3a'!C79="","",'Table 3a'!C79)</f>
        <v>Our Lady of the Wayside Catholic Primary School</v>
      </c>
      <c r="D78" s="645">
        <f>IF('Table 3a'!D79="","",'Table 3a'!D79)</f>
        <v>3500</v>
      </c>
      <c r="E78" s="646">
        <f>IF('Table 3a'!AC79="","",'Table 3a'!AC79)</f>
        <v>954498.8799999999</v>
      </c>
      <c r="F78" s="646">
        <f>IF('Table 3a'!AJ79="","",'Table 3a'!AJ79)</f>
        <v>54834</v>
      </c>
      <c r="G78" s="647"/>
      <c r="H78" s="646">
        <f>IF('Table 3a'!AO79="","",'Table 3a'!AO79)</f>
        <v>0</v>
      </c>
      <c r="I78" s="646">
        <f>IF('Table 3a'!AU79="","",'Table 3a'!AU79)</f>
        <v>54109</v>
      </c>
      <c r="J78" s="646">
        <f>IF('Table 3a'!AX79="","",'Table 3a'!AX79)</f>
        <v>31550</v>
      </c>
      <c r="K78" s="646">
        <f>IF('Table 3a'!BC79="","",'Table 3a'!BC79)</f>
        <v>9385</v>
      </c>
      <c r="L78" s="646">
        <f>IF('Table 3a'!BI79="","",'Table 3a'!BI79)</f>
        <v>6416</v>
      </c>
      <c r="M78" s="646">
        <f>IF('Table 3a'!BN79="","",'Table 3a'!BN79)</f>
        <v>48489</v>
      </c>
      <c r="N78" s="646">
        <f>IF('Table 3a'!BT79="","",'Table 3a'!BT79)</f>
        <v>87938</v>
      </c>
      <c r="O78" s="646">
        <f>IF('Table 3a'!BW79="","",'Table 3a'!BW79)</f>
        <v>0</v>
      </c>
      <c r="P78" s="646">
        <f>IF('Table 3a'!BX79="","",'Table 3a'!BX79)</f>
        <v>0</v>
      </c>
      <c r="Q78" s="646">
        <f t="shared" si="36"/>
        <v>1247219.88</v>
      </c>
      <c r="R78" s="646">
        <f>IF('Table 3a'!AB79="","",'Table 3a'!AB79)</f>
        <v>440</v>
      </c>
      <c r="S78" s="646">
        <f t="shared" si="37"/>
        <v>2834.590636363636</v>
      </c>
      <c r="T78" s="649" t="s">
        <v>642</v>
      </c>
      <c r="U78" s="649">
        <v>65902.88469300719</v>
      </c>
      <c r="V78" s="649">
        <v>3179</v>
      </c>
      <c r="W78" s="651"/>
      <c r="X78" s="649">
        <v>27369</v>
      </c>
      <c r="Y78" s="649">
        <v>0</v>
      </c>
      <c r="Z78" s="649">
        <v>0</v>
      </c>
      <c r="AA78" s="649">
        <v>0</v>
      </c>
      <c r="AB78" s="649">
        <v>0</v>
      </c>
      <c r="AC78" s="649">
        <f t="shared" si="38"/>
        <v>85659</v>
      </c>
      <c r="AD78" s="647"/>
      <c r="AE78" s="652"/>
      <c r="AF78" s="653"/>
      <c r="AG78" s="654"/>
      <c r="AH78" s="655"/>
      <c r="AI78" s="656"/>
      <c r="AJ78" s="657"/>
      <c r="AK78" s="658"/>
      <c r="AL78" s="658"/>
      <c r="AM78" s="658"/>
      <c r="AN78" s="657"/>
      <c r="AO78" s="658"/>
      <c r="AP78" s="658"/>
      <c r="AQ78" s="658"/>
      <c r="AR78" s="682"/>
      <c r="AS78" s="660">
        <f t="shared" si="39"/>
      </c>
      <c r="AT78" s="660">
        <f>IF(OR(OR(AND(C78="",D78&lt;&gt;""),AND(C78&lt;&gt;"",D78="")),AND(OR(SUM(Q78)&lt;&gt;0,SUM(R78)&lt;&gt;0,AND(U78&lt;&gt;"",U78&lt;&gt;0),AND(V78&lt;&gt;"",V78&lt;&gt;0),AND(W78&lt;&gt;"",W78&lt;&gt;0),AND(X78&lt;&gt;"",X78&lt;&gt;0),AND(Y78&lt;&gt;"",Y78&lt;&gt;0),AND(Z78&lt;&gt;"",Z78&lt;&gt;0),AND(AA78&lt;&gt;"",AA78&lt;&gt;0),AND(AB78&lt;&gt;"",AB78&lt;&gt;0),AND(AC78&lt;&gt;"",AC78&lt;&gt;0),AND(AD78&lt;&gt;"",AD78&lt;&gt;0),AE78&lt;&gt;"",AF78&lt;&gt;""),OR(C78="",D78=""))),"Error 2.11",IF(AND(C78&lt;&gt;"",ISNUMBER(D78)=FALSE),"Error 1.2",IF(AND(C78&lt;&gt;"",'Table 3a'!D79-INT('Table 3a'!D79)&lt;&gt;0),"Error 2.1",IF(AND(C78&lt;&gt;"",OR(D78&lt;2000,AND(D78&gt;3999,D78&lt;5200),AND(D78&gt;5299,D78&lt;5940),D78&gt;5949)),"Error 2.3",IF(AND(C78&lt;&gt;"",COUNTIF(startdfes:enddfes,D78)&gt;1),"Warning 1.2","")))))</f>
      </c>
      <c r="AU78" s="660">
        <f>IF(AND(OR(E78="",E78=0),C78="",D78=""),"",IF(AND(OR(C78&lt;&gt;"",D78&lt;&gt;""),E78=""),"Error 4.10.2",IF(AND(E78&lt;&gt;"",ISNUMBER(E78)=FALSE),"Error 1.2",IF(E78&lt;=0,"Error 1.4",IF('Table 3a'!AC79&lt;&gt;'Table 3a'!CA79,"Warning 2.7","")))))</f>
      </c>
      <c r="AV78" s="660">
        <f t="shared" si="40"/>
      </c>
      <c r="AW78" s="661"/>
      <c r="AX78" s="660">
        <f t="shared" si="41"/>
      </c>
      <c r="AY78" s="660">
        <f t="shared" si="42"/>
      </c>
      <c r="AZ78" s="660">
        <f t="shared" si="43"/>
      </c>
      <c r="BA78" s="660">
        <f t="shared" si="44"/>
      </c>
      <c r="BB78" s="660">
        <f t="shared" si="45"/>
      </c>
      <c r="BC78" s="660">
        <f t="shared" si="46"/>
      </c>
      <c r="BD78" s="660">
        <f t="shared" si="47"/>
      </c>
      <c r="BE78" s="660">
        <f t="shared" si="48"/>
      </c>
      <c r="BF78" s="660">
        <f t="shared" si="49"/>
      </c>
      <c r="BG78" s="660">
        <f>IF(AND(OR(Q78="",Q78=0),C78="",D78=""),"",IF(AND(OR(C78&lt;&gt;"",D78&lt;&gt;""),Q78=""),"Error 4.10.2",IF(AND(Q78&lt;&gt;"",ISNUMBER(Q78)=FALSE),"Error 1.2",IF(AND(OR(Q78&lt;10000,Q78&gt;10000000)),"Error 3.2.1",IF(ABS(('Table 3a'!BY79*2)-'Table 3a'!BZ79)&gt;50,"Error 3.7","")))))</f>
      </c>
      <c r="BH78" s="660">
        <f t="shared" si="50"/>
      </c>
      <c r="BI78" s="660">
        <f t="shared" si="51"/>
      </c>
      <c r="BJ78" s="660">
        <f t="shared" si="52"/>
      </c>
      <c r="BK78" s="660">
        <f t="shared" si="53"/>
      </c>
      <c r="BL78" s="660">
        <f t="shared" si="54"/>
      </c>
      <c r="BM78" s="663"/>
      <c r="BN78" s="660">
        <f t="shared" si="55"/>
      </c>
      <c r="BO78" s="660">
        <f t="shared" si="56"/>
      </c>
      <c r="BP78" s="660">
        <f t="shared" si="57"/>
      </c>
      <c r="BQ78" s="660">
        <f t="shared" si="58"/>
      </c>
      <c r="BR78" s="660">
        <f t="shared" si="59"/>
      </c>
      <c r="BS78" s="660">
        <f t="shared" si="60"/>
      </c>
      <c r="BT78" s="662"/>
      <c r="BU78" s="660">
        <f t="shared" si="61"/>
      </c>
      <c r="BV78" s="660">
        <f t="shared" si="62"/>
      </c>
      <c r="BW78" s="605">
        <f t="shared" si="63"/>
        <v>0</v>
      </c>
      <c r="BX78" s="660">
        <f t="shared" si="64"/>
      </c>
      <c r="BY78" s="664"/>
      <c r="BZ78" s="664"/>
      <c r="CA78" s="665"/>
      <c r="CB78" s="665"/>
      <c r="CC78" s="666"/>
      <c r="CD78" s="154"/>
      <c r="DG78" s="3"/>
    </row>
    <row r="79" spans="1:111" s="52" customFormat="1" ht="12.75">
      <c r="A79" s="681"/>
      <c r="B79" s="645">
        <f>IF('Table 3a'!B80="","",'Table 3a'!B80)</f>
        <v>48</v>
      </c>
      <c r="C79" s="644" t="str">
        <f>IF('Table 3a'!C80="","",'Table 3a'!C80)</f>
        <v>St Andrew's Catholic Primary School</v>
      </c>
      <c r="D79" s="645">
        <f>IF('Table 3a'!D80="","",'Table 3a'!D80)</f>
        <v>3501</v>
      </c>
      <c r="E79" s="646">
        <f>IF('Table 3a'!AC80="","",'Table 3a'!AC80)</f>
        <v>471448.44999999995</v>
      </c>
      <c r="F79" s="646">
        <f>IF('Table 3a'!AJ80="","",'Table 3a'!AJ80)</f>
        <v>37134</v>
      </c>
      <c r="G79" s="647"/>
      <c r="H79" s="646">
        <f>IF('Table 3a'!AO80="","",'Table 3a'!AO80)</f>
        <v>0</v>
      </c>
      <c r="I79" s="646">
        <f>IF('Table 3a'!AU80="","",'Table 3a'!AU80)</f>
        <v>6337</v>
      </c>
      <c r="J79" s="646">
        <f>IF('Table 3a'!AX80="","",'Table 3a'!AX80)</f>
        <v>3265</v>
      </c>
      <c r="K79" s="646">
        <f>IF('Table 3a'!BC80="","",'Table 3a'!BC80)</f>
        <v>7302</v>
      </c>
      <c r="L79" s="646">
        <f>IF('Table 3a'!BI80="","",'Table 3a'!BI80)</f>
        <v>8043</v>
      </c>
      <c r="M79" s="646">
        <f>IF('Table 3a'!BN80="","",'Table 3a'!BN80)</f>
        <v>33378</v>
      </c>
      <c r="N79" s="646">
        <f>IF('Table 3a'!BT80="","",'Table 3a'!BT80)</f>
        <v>106266</v>
      </c>
      <c r="O79" s="646">
        <f>IF('Table 3a'!BW80="","",'Table 3a'!BW80)</f>
        <v>0</v>
      </c>
      <c r="P79" s="646">
        <f>IF('Table 3a'!BX80="","",'Table 3a'!BX80)</f>
        <v>0</v>
      </c>
      <c r="Q79" s="646">
        <f t="shared" si="36"/>
        <v>673173.45</v>
      </c>
      <c r="R79" s="646">
        <f>IF('Table 3a'!AB80="","",'Table 3a'!AB80)</f>
        <v>221</v>
      </c>
      <c r="S79" s="646">
        <f t="shared" si="37"/>
        <v>3046.0337104072396</v>
      </c>
      <c r="T79" s="649" t="s">
        <v>642</v>
      </c>
      <c r="U79" s="649">
        <v>39732.906691514996</v>
      </c>
      <c r="V79" s="649">
        <v>2089</v>
      </c>
      <c r="W79" s="651"/>
      <c r="X79" s="649">
        <v>17096</v>
      </c>
      <c r="Y79" s="649">
        <v>0</v>
      </c>
      <c r="Z79" s="649">
        <v>0</v>
      </c>
      <c r="AA79" s="649">
        <v>0</v>
      </c>
      <c r="AB79" s="649">
        <v>0</v>
      </c>
      <c r="AC79" s="649">
        <f t="shared" si="38"/>
        <v>9602</v>
      </c>
      <c r="AD79" s="647"/>
      <c r="AE79" s="652"/>
      <c r="AF79" s="653"/>
      <c r="AG79" s="654"/>
      <c r="AH79" s="655"/>
      <c r="AI79" s="656"/>
      <c r="AJ79" s="657"/>
      <c r="AK79" s="658"/>
      <c r="AL79" s="658"/>
      <c r="AM79" s="658"/>
      <c r="AN79" s="657"/>
      <c r="AO79" s="658"/>
      <c r="AP79" s="658"/>
      <c r="AQ79" s="658"/>
      <c r="AR79" s="682"/>
      <c r="AS79" s="660">
        <f t="shared" si="39"/>
      </c>
      <c r="AT79" s="660">
        <f>IF(OR(OR(AND(C79="",D79&lt;&gt;""),AND(C79&lt;&gt;"",D79="")),AND(OR(SUM(Q79)&lt;&gt;0,SUM(R79)&lt;&gt;0,AND(U79&lt;&gt;"",U79&lt;&gt;0),AND(V79&lt;&gt;"",V79&lt;&gt;0),AND(W79&lt;&gt;"",W79&lt;&gt;0),AND(X79&lt;&gt;"",X79&lt;&gt;0),AND(Y79&lt;&gt;"",Y79&lt;&gt;0),AND(Z79&lt;&gt;"",Z79&lt;&gt;0),AND(AA79&lt;&gt;"",AA79&lt;&gt;0),AND(AB79&lt;&gt;"",AB79&lt;&gt;0),AND(AC79&lt;&gt;"",AC79&lt;&gt;0),AND(AD79&lt;&gt;"",AD79&lt;&gt;0),AE79&lt;&gt;"",AF79&lt;&gt;""),OR(C79="",D79=""))),"Error 2.11",IF(AND(C79&lt;&gt;"",ISNUMBER(D79)=FALSE),"Error 1.2",IF(AND(C79&lt;&gt;"",'Table 3a'!D80-INT('Table 3a'!D80)&lt;&gt;0),"Error 2.1",IF(AND(C79&lt;&gt;"",OR(D79&lt;2000,AND(D79&gt;3999,D79&lt;5200),AND(D79&gt;5299,D79&lt;5940),D79&gt;5949)),"Error 2.3",IF(AND(C79&lt;&gt;"",COUNTIF(startdfes:enddfes,D79)&gt;1),"Warning 1.2","")))))</f>
      </c>
      <c r="AU79" s="660">
        <f>IF(AND(OR(E79="",E79=0),C79="",D79=""),"",IF(AND(OR(C79&lt;&gt;"",D79&lt;&gt;""),E79=""),"Error 4.10.2",IF(AND(E79&lt;&gt;"",ISNUMBER(E79)=FALSE),"Error 1.2",IF(E79&lt;=0,"Error 1.4",IF('Table 3a'!AC80&lt;&gt;'Table 3a'!CA80,"Warning 2.7","")))))</f>
      </c>
      <c r="AV79" s="660">
        <f t="shared" si="40"/>
      </c>
      <c r="AW79" s="661"/>
      <c r="AX79" s="660">
        <f t="shared" si="41"/>
      </c>
      <c r="AY79" s="660">
        <f t="shared" si="42"/>
      </c>
      <c r="AZ79" s="660">
        <f t="shared" si="43"/>
      </c>
      <c r="BA79" s="660">
        <f t="shared" si="44"/>
      </c>
      <c r="BB79" s="660">
        <f t="shared" si="45"/>
      </c>
      <c r="BC79" s="660">
        <f t="shared" si="46"/>
      </c>
      <c r="BD79" s="660">
        <f t="shared" si="47"/>
      </c>
      <c r="BE79" s="660">
        <f t="shared" si="48"/>
      </c>
      <c r="BF79" s="660">
        <f t="shared" si="49"/>
      </c>
      <c r="BG79" s="660">
        <f>IF(AND(OR(Q79="",Q79=0),C79="",D79=""),"",IF(AND(OR(C79&lt;&gt;"",D79&lt;&gt;""),Q79=""),"Error 4.10.2",IF(AND(Q79&lt;&gt;"",ISNUMBER(Q79)=FALSE),"Error 1.2",IF(AND(OR(Q79&lt;10000,Q79&gt;10000000)),"Error 3.2.1",IF(ABS(('Table 3a'!BY80*2)-'Table 3a'!BZ80)&gt;50,"Error 3.7","")))))</f>
      </c>
      <c r="BH79" s="660">
        <f t="shared" si="50"/>
      </c>
      <c r="BI79" s="660">
        <f t="shared" si="51"/>
      </c>
      <c r="BJ79" s="660">
        <f t="shared" si="52"/>
      </c>
      <c r="BK79" s="660">
        <f t="shared" si="53"/>
      </c>
      <c r="BL79" s="660">
        <f t="shared" si="54"/>
      </c>
      <c r="BM79" s="663"/>
      <c r="BN79" s="660">
        <f t="shared" si="55"/>
      </c>
      <c r="BO79" s="660">
        <f t="shared" si="56"/>
      </c>
      <c r="BP79" s="660">
        <f t="shared" si="57"/>
      </c>
      <c r="BQ79" s="660">
        <f t="shared" si="58"/>
      </c>
      <c r="BR79" s="660">
        <f t="shared" si="59"/>
      </c>
      <c r="BS79" s="660">
        <f t="shared" si="60"/>
      </c>
      <c r="BT79" s="662"/>
      <c r="BU79" s="660">
        <f t="shared" si="61"/>
      </c>
      <c r="BV79" s="660">
        <f t="shared" si="62"/>
      </c>
      <c r="BW79" s="605">
        <f t="shared" si="63"/>
        <v>0</v>
      </c>
      <c r="BX79" s="660">
        <f t="shared" si="64"/>
      </c>
      <c r="BY79" s="664"/>
      <c r="BZ79" s="664"/>
      <c r="CA79" s="665"/>
      <c r="CB79" s="665"/>
      <c r="CC79" s="666"/>
      <c r="CD79" s="154"/>
      <c r="DG79" s="3"/>
    </row>
    <row r="80" spans="1:111" s="52" customFormat="1" ht="12.75">
      <c r="A80" s="681"/>
      <c r="B80" s="645">
        <f>IF('Table 3a'!B81="","",'Table 3a'!B81)</f>
        <v>51</v>
      </c>
      <c r="C80" s="644" t="str">
        <f>IF('Table 3a'!C81="","",'Table 3a'!C81)</f>
        <v>St Augustine's Catholic Primary School</v>
      </c>
      <c r="D80" s="645">
        <f>IF('Table 3a'!D81="","",'Table 3a'!D81)</f>
        <v>3502</v>
      </c>
      <c r="E80" s="646">
        <f>IF('Table 3a'!AC81="","",'Table 3a'!AC81)</f>
        <v>476047.73</v>
      </c>
      <c r="F80" s="646">
        <f>IF('Table 3a'!AJ81="","",'Table 3a'!AJ81)</f>
        <v>37134</v>
      </c>
      <c r="G80" s="647"/>
      <c r="H80" s="646">
        <f>IF('Table 3a'!AO81="","",'Table 3a'!AO81)</f>
        <v>0</v>
      </c>
      <c r="I80" s="646">
        <f>IF('Table 3a'!AU81="","",'Table 3a'!AU81)</f>
        <v>9897</v>
      </c>
      <c r="J80" s="646">
        <f>IF('Table 3a'!AX81="","",'Table 3a'!AX81)</f>
        <v>3265</v>
      </c>
      <c r="K80" s="646">
        <f>IF('Table 3a'!BC81="","",'Table 3a'!BC81)</f>
        <v>4267</v>
      </c>
      <c r="L80" s="646">
        <f>IF('Table 3a'!BI81="","",'Table 3a'!BI81)</f>
        <v>3038</v>
      </c>
      <c r="M80" s="646">
        <f>IF('Table 3a'!BN81="","",'Table 3a'!BN81)</f>
        <v>41392</v>
      </c>
      <c r="N80" s="646">
        <f>IF('Table 3a'!BT81="","",'Table 3a'!BT81)</f>
        <v>105696</v>
      </c>
      <c r="O80" s="646">
        <f>IF('Table 3a'!BW81="","",'Table 3a'!BW81)</f>
        <v>0</v>
      </c>
      <c r="P80" s="646">
        <f>IF('Table 3a'!BX81="","",'Table 3a'!BX81)</f>
        <v>0</v>
      </c>
      <c r="Q80" s="646">
        <f t="shared" si="36"/>
        <v>680736.73</v>
      </c>
      <c r="R80" s="646">
        <f>IF('Table 3a'!AB81="","",'Table 3a'!AB81)</f>
        <v>224</v>
      </c>
      <c r="S80" s="646">
        <f t="shared" si="37"/>
        <v>3039.0032589285715</v>
      </c>
      <c r="T80" s="649" t="s">
        <v>642</v>
      </c>
      <c r="U80" s="649">
        <v>39922.3303432568</v>
      </c>
      <c r="V80" s="649">
        <v>2718</v>
      </c>
      <c r="W80" s="651"/>
      <c r="X80" s="649">
        <v>15401</v>
      </c>
      <c r="Y80" s="649">
        <v>0</v>
      </c>
      <c r="Z80" s="649">
        <v>0</v>
      </c>
      <c r="AA80" s="649">
        <v>0</v>
      </c>
      <c r="AB80" s="649">
        <v>0</v>
      </c>
      <c r="AC80" s="649">
        <f t="shared" si="38"/>
        <v>13162</v>
      </c>
      <c r="AD80" s="647"/>
      <c r="AE80" s="652"/>
      <c r="AF80" s="653"/>
      <c r="AG80" s="654"/>
      <c r="AH80" s="655"/>
      <c r="AI80" s="656"/>
      <c r="AJ80" s="657"/>
      <c r="AK80" s="658"/>
      <c r="AL80" s="658"/>
      <c r="AM80" s="658"/>
      <c r="AN80" s="657"/>
      <c r="AO80" s="658"/>
      <c r="AP80" s="658"/>
      <c r="AQ80" s="658"/>
      <c r="AR80" s="682"/>
      <c r="AS80" s="660">
        <f t="shared" si="39"/>
      </c>
      <c r="AT80" s="660">
        <f>IF(OR(OR(AND(C80="",D80&lt;&gt;""),AND(C80&lt;&gt;"",D80="")),AND(OR(SUM(Q80)&lt;&gt;0,SUM(R80)&lt;&gt;0,AND(U80&lt;&gt;"",U80&lt;&gt;0),AND(V80&lt;&gt;"",V80&lt;&gt;0),AND(W80&lt;&gt;"",W80&lt;&gt;0),AND(X80&lt;&gt;"",X80&lt;&gt;0),AND(Y80&lt;&gt;"",Y80&lt;&gt;0),AND(Z80&lt;&gt;"",Z80&lt;&gt;0),AND(AA80&lt;&gt;"",AA80&lt;&gt;0),AND(AB80&lt;&gt;"",AB80&lt;&gt;0),AND(AC80&lt;&gt;"",AC80&lt;&gt;0),AND(AD80&lt;&gt;"",AD80&lt;&gt;0),AE80&lt;&gt;"",AF80&lt;&gt;""),OR(C80="",D80=""))),"Error 2.11",IF(AND(C80&lt;&gt;"",ISNUMBER(D80)=FALSE),"Error 1.2",IF(AND(C80&lt;&gt;"",'Table 3a'!D81-INT('Table 3a'!D81)&lt;&gt;0),"Error 2.1",IF(AND(C80&lt;&gt;"",OR(D80&lt;2000,AND(D80&gt;3999,D80&lt;5200),AND(D80&gt;5299,D80&lt;5940),D80&gt;5949)),"Error 2.3",IF(AND(C80&lt;&gt;"",COUNTIF(startdfes:enddfes,D80)&gt;1),"Warning 1.2","")))))</f>
      </c>
      <c r="AU80" s="660">
        <f>IF(AND(OR(E80="",E80=0),C80="",D80=""),"",IF(AND(OR(C80&lt;&gt;"",D80&lt;&gt;""),E80=""),"Error 4.10.2",IF(AND(E80&lt;&gt;"",ISNUMBER(E80)=FALSE),"Error 1.2",IF(E80&lt;=0,"Error 1.4",IF('Table 3a'!AC81&lt;&gt;'Table 3a'!CA81,"Warning 2.7","")))))</f>
      </c>
      <c r="AV80" s="660">
        <f t="shared" si="40"/>
      </c>
      <c r="AW80" s="661"/>
      <c r="AX80" s="660">
        <f t="shared" si="41"/>
      </c>
      <c r="AY80" s="660">
        <f t="shared" si="42"/>
      </c>
      <c r="AZ80" s="660">
        <f t="shared" si="43"/>
      </c>
      <c r="BA80" s="660">
        <f t="shared" si="44"/>
      </c>
      <c r="BB80" s="660">
        <f t="shared" si="45"/>
      </c>
      <c r="BC80" s="660">
        <f t="shared" si="46"/>
      </c>
      <c r="BD80" s="660">
        <f t="shared" si="47"/>
      </c>
      <c r="BE80" s="660">
        <f t="shared" si="48"/>
      </c>
      <c r="BF80" s="660">
        <f t="shared" si="49"/>
      </c>
      <c r="BG80" s="660">
        <f>IF(AND(OR(Q80="",Q80=0),C80="",D80=""),"",IF(AND(OR(C80&lt;&gt;"",D80&lt;&gt;""),Q80=""),"Error 4.10.2",IF(AND(Q80&lt;&gt;"",ISNUMBER(Q80)=FALSE),"Error 1.2",IF(AND(OR(Q80&lt;10000,Q80&gt;10000000)),"Error 3.2.1",IF(ABS(('Table 3a'!BY81*2)-'Table 3a'!BZ81)&gt;50,"Error 3.7","")))))</f>
      </c>
      <c r="BH80" s="660">
        <f t="shared" si="50"/>
      </c>
      <c r="BI80" s="660">
        <f t="shared" si="51"/>
      </c>
      <c r="BJ80" s="660">
        <f t="shared" si="52"/>
      </c>
      <c r="BK80" s="660">
        <f t="shared" si="53"/>
      </c>
      <c r="BL80" s="660">
        <f t="shared" si="54"/>
      </c>
      <c r="BM80" s="663"/>
      <c r="BN80" s="660">
        <f t="shared" si="55"/>
      </c>
      <c r="BO80" s="660">
        <f t="shared" si="56"/>
      </c>
      <c r="BP80" s="660">
        <f t="shared" si="57"/>
      </c>
      <c r="BQ80" s="660">
        <f t="shared" si="58"/>
      </c>
      <c r="BR80" s="660">
        <f t="shared" si="59"/>
      </c>
      <c r="BS80" s="660">
        <f t="shared" si="60"/>
      </c>
      <c r="BT80" s="662"/>
      <c r="BU80" s="660">
        <f t="shared" si="61"/>
      </c>
      <c r="BV80" s="660">
        <f t="shared" si="62"/>
      </c>
      <c r="BW80" s="605">
        <f t="shared" si="63"/>
        <v>0</v>
      </c>
      <c r="BX80" s="660">
        <f t="shared" si="64"/>
      </c>
      <c r="BY80" s="664"/>
      <c r="BZ80" s="664"/>
      <c r="CA80" s="665"/>
      <c r="CB80" s="665"/>
      <c r="CC80" s="666"/>
      <c r="CD80" s="154"/>
      <c r="DG80" s="3"/>
    </row>
    <row r="81" spans="1:111" s="52" customFormat="1" ht="12.75">
      <c r="A81" s="681"/>
      <c r="B81" s="645">
        <f>IF('Table 3a'!B82="","",'Table 3a'!B82)</f>
        <v>52</v>
      </c>
      <c r="C81" s="644" t="str">
        <f>IF('Table 3a'!C82="","",'Table 3a'!C82)</f>
        <v>St George and St Teresa Catholic Primary School</v>
      </c>
      <c r="D81" s="645">
        <f>IF('Table 3a'!D82="","",'Table 3a'!D82)</f>
        <v>3503</v>
      </c>
      <c r="E81" s="646">
        <f>IF('Table 3a'!AC82="","",'Table 3a'!AC82)</f>
        <v>474929.6499999999</v>
      </c>
      <c r="F81" s="646">
        <f>IF('Table 3a'!AJ82="","",'Table 3a'!AJ82)</f>
        <v>37134</v>
      </c>
      <c r="G81" s="647"/>
      <c r="H81" s="646">
        <f>IF('Table 3a'!AO82="","",'Table 3a'!AO82)</f>
        <v>0</v>
      </c>
      <c r="I81" s="646">
        <f>IF('Table 3a'!AU82="","",'Table 3a'!AU82)</f>
        <v>36937</v>
      </c>
      <c r="J81" s="646">
        <f>IF('Table 3a'!AX82="","",'Table 3a'!AX82)</f>
        <v>14022</v>
      </c>
      <c r="K81" s="646">
        <f>IF('Table 3a'!BC82="","",'Table 3a'!BC82)</f>
        <v>7222</v>
      </c>
      <c r="L81" s="646">
        <f>IF('Table 3a'!BI82="","",'Table 3a'!BI82)</f>
        <v>2970</v>
      </c>
      <c r="M81" s="646">
        <f>IF('Table 3a'!BN82="","",'Table 3a'!BN82)</f>
        <v>34704</v>
      </c>
      <c r="N81" s="646">
        <f>IF('Table 3a'!BT82="","",'Table 3a'!BT82)</f>
        <v>105503</v>
      </c>
      <c r="O81" s="646">
        <f>IF('Table 3a'!BW82="","",'Table 3a'!BW82)</f>
        <v>0</v>
      </c>
      <c r="P81" s="646">
        <f>IF('Table 3a'!BX82="","",'Table 3a'!BX82)</f>
        <v>0</v>
      </c>
      <c r="Q81" s="646">
        <f t="shared" si="36"/>
        <v>713421.6499999999</v>
      </c>
      <c r="R81" s="646">
        <f>IF('Table 3a'!AB82="","",'Table 3a'!AB82)</f>
        <v>218</v>
      </c>
      <c r="S81" s="646">
        <f t="shared" si="37"/>
        <v>3272.576376146789</v>
      </c>
      <c r="T81" s="649" t="s">
        <v>642</v>
      </c>
      <c r="U81" s="649">
        <v>40032.703373669545</v>
      </c>
      <c r="V81" s="649">
        <v>1624</v>
      </c>
      <c r="W81" s="651"/>
      <c r="X81" s="649">
        <v>17082</v>
      </c>
      <c r="Y81" s="649">
        <v>0</v>
      </c>
      <c r="Z81" s="649">
        <v>0</v>
      </c>
      <c r="AA81" s="649">
        <v>0</v>
      </c>
      <c r="AB81" s="649">
        <v>0</v>
      </c>
      <c r="AC81" s="649">
        <f t="shared" si="38"/>
        <v>50959</v>
      </c>
      <c r="AD81" s="647"/>
      <c r="AE81" s="652"/>
      <c r="AF81" s="653"/>
      <c r="AG81" s="654"/>
      <c r="AH81" s="655"/>
      <c r="AI81" s="656"/>
      <c r="AJ81" s="657"/>
      <c r="AK81" s="658"/>
      <c r="AL81" s="658"/>
      <c r="AM81" s="658"/>
      <c r="AN81" s="657"/>
      <c r="AO81" s="658"/>
      <c r="AP81" s="658"/>
      <c r="AQ81" s="658"/>
      <c r="AR81" s="682"/>
      <c r="AS81" s="660">
        <f t="shared" si="39"/>
      </c>
      <c r="AT81" s="660">
        <f>IF(OR(OR(AND(C81="",D81&lt;&gt;""),AND(C81&lt;&gt;"",D81="")),AND(OR(SUM(Q81)&lt;&gt;0,SUM(R81)&lt;&gt;0,AND(U81&lt;&gt;"",U81&lt;&gt;0),AND(V81&lt;&gt;"",V81&lt;&gt;0),AND(W81&lt;&gt;"",W81&lt;&gt;0),AND(X81&lt;&gt;"",X81&lt;&gt;0),AND(Y81&lt;&gt;"",Y81&lt;&gt;0),AND(Z81&lt;&gt;"",Z81&lt;&gt;0),AND(AA81&lt;&gt;"",AA81&lt;&gt;0),AND(AB81&lt;&gt;"",AB81&lt;&gt;0),AND(AC81&lt;&gt;"",AC81&lt;&gt;0),AND(AD81&lt;&gt;"",AD81&lt;&gt;0),AE81&lt;&gt;"",AF81&lt;&gt;""),OR(C81="",D81=""))),"Error 2.11",IF(AND(C81&lt;&gt;"",ISNUMBER(D81)=FALSE),"Error 1.2",IF(AND(C81&lt;&gt;"",'Table 3a'!D82-INT('Table 3a'!D82)&lt;&gt;0),"Error 2.1",IF(AND(C81&lt;&gt;"",OR(D81&lt;2000,AND(D81&gt;3999,D81&lt;5200),AND(D81&gt;5299,D81&lt;5940),D81&gt;5949)),"Error 2.3",IF(AND(C81&lt;&gt;"",COUNTIF(startdfes:enddfes,D81)&gt;1),"Warning 1.2","")))))</f>
      </c>
      <c r="AU81" s="660">
        <f>IF(AND(OR(E81="",E81=0),C81="",D81=""),"",IF(AND(OR(C81&lt;&gt;"",D81&lt;&gt;""),E81=""),"Error 4.10.2",IF(AND(E81&lt;&gt;"",ISNUMBER(E81)=FALSE),"Error 1.2",IF(E81&lt;=0,"Error 1.4",IF('Table 3a'!AC82&lt;&gt;'Table 3a'!CA82,"Warning 2.7","")))))</f>
      </c>
      <c r="AV81" s="660">
        <f t="shared" si="40"/>
      </c>
      <c r="AW81" s="661"/>
      <c r="AX81" s="660">
        <f t="shared" si="41"/>
      </c>
      <c r="AY81" s="660">
        <f t="shared" si="42"/>
      </c>
      <c r="AZ81" s="660">
        <f t="shared" si="43"/>
      </c>
      <c r="BA81" s="660">
        <f t="shared" si="44"/>
      </c>
      <c r="BB81" s="660">
        <f t="shared" si="45"/>
      </c>
      <c r="BC81" s="660">
        <f t="shared" si="46"/>
      </c>
      <c r="BD81" s="660">
        <f t="shared" si="47"/>
      </c>
      <c r="BE81" s="660">
        <f t="shared" si="48"/>
      </c>
      <c r="BF81" s="660">
        <f t="shared" si="49"/>
      </c>
      <c r="BG81" s="660">
        <f>IF(AND(OR(Q81="",Q81=0),C81="",D81=""),"",IF(AND(OR(C81&lt;&gt;"",D81&lt;&gt;""),Q81=""),"Error 4.10.2",IF(AND(Q81&lt;&gt;"",ISNUMBER(Q81)=FALSE),"Error 1.2",IF(AND(OR(Q81&lt;10000,Q81&gt;10000000)),"Error 3.2.1",IF(ABS(('Table 3a'!BY82*2)-'Table 3a'!BZ82)&gt;50,"Error 3.7","")))))</f>
      </c>
      <c r="BH81" s="660">
        <f t="shared" si="50"/>
      </c>
      <c r="BI81" s="660">
        <f t="shared" si="51"/>
      </c>
      <c r="BJ81" s="660">
        <f t="shared" si="52"/>
      </c>
      <c r="BK81" s="660">
        <f t="shared" si="53"/>
      </c>
      <c r="BL81" s="660">
        <f t="shared" si="54"/>
      </c>
      <c r="BM81" s="663"/>
      <c r="BN81" s="660">
        <f t="shared" si="55"/>
      </c>
      <c r="BO81" s="660">
        <f t="shared" si="56"/>
      </c>
      <c r="BP81" s="660">
        <f t="shared" si="57"/>
      </c>
      <c r="BQ81" s="660">
        <f t="shared" si="58"/>
      </c>
      <c r="BR81" s="660">
        <f t="shared" si="59"/>
      </c>
      <c r="BS81" s="660">
        <f t="shared" si="60"/>
      </c>
      <c r="BT81" s="662"/>
      <c r="BU81" s="660">
        <f t="shared" si="61"/>
      </c>
      <c r="BV81" s="660">
        <f t="shared" si="62"/>
      </c>
      <c r="BW81" s="605">
        <f t="shared" si="63"/>
        <v>0</v>
      </c>
      <c r="BX81" s="660">
        <f t="shared" si="64"/>
      </c>
      <c r="BY81" s="664"/>
      <c r="BZ81" s="664"/>
      <c r="CA81" s="665"/>
      <c r="CB81" s="665"/>
      <c r="CC81" s="666"/>
      <c r="CD81" s="154"/>
      <c r="DG81" s="3"/>
    </row>
    <row r="82" spans="1:111" s="52" customFormat="1" ht="12.75">
      <c r="A82" s="681"/>
      <c r="B82" s="645">
        <f>IF('Table 3a'!B83="","",'Table 3a'!B83)</f>
        <v>41</v>
      </c>
      <c r="C82" s="644" t="str">
        <f>IF('Table 3a'!C83="","",'Table 3a'!C83)</f>
        <v>Our Lady of Compassion Catholic Primary School</v>
      </c>
      <c r="D82" s="645">
        <f>IF('Table 3a'!D83="","",'Table 3a'!D83)</f>
        <v>3504</v>
      </c>
      <c r="E82" s="646">
        <f>IF('Table 3a'!AC83="","",'Table 3a'!AC83)</f>
        <v>670810.97</v>
      </c>
      <c r="F82" s="646">
        <f>IF('Table 3a'!AJ83="","",'Table 3a'!AJ83)</f>
        <v>74894</v>
      </c>
      <c r="G82" s="647"/>
      <c r="H82" s="646">
        <f>IF('Table 3a'!AO83="","",'Table 3a'!AO83)</f>
        <v>0</v>
      </c>
      <c r="I82" s="646">
        <f>IF('Table 3a'!AU83="","",'Table 3a'!AU83)</f>
        <v>32589</v>
      </c>
      <c r="J82" s="646">
        <f>IF('Table 3a'!AX83="","",'Table 3a'!AX83)</f>
        <v>3265</v>
      </c>
      <c r="K82" s="646">
        <f>IF('Table 3a'!BC83="","",'Table 3a'!BC83)</f>
        <v>14734</v>
      </c>
      <c r="L82" s="646">
        <f>IF('Table 3a'!BI83="","",'Table 3a'!BI83)</f>
        <v>10602</v>
      </c>
      <c r="M82" s="646">
        <f>IF('Table 3a'!BN83="","",'Table 3a'!BN83)</f>
        <v>51698</v>
      </c>
      <c r="N82" s="646">
        <f>IF('Table 3a'!BT83="","",'Table 3a'!BT83)</f>
        <v>88715</v>
      </c>
      <c r="O82" s="646">
        <f>IF('Table 3a'!BW83="","",'Table 3a'!BW83)</f>
        <v>0</v>
      </c>
      <c r="P82" s="646">
        <f>IF('Table 3a'!BX83="","",'Table 3a'!BX83)</f>
        <v>0</v>
      </c>
      <c r="Q82" s="646">
        <f t="shared" si="36"/>
        <v>947307.97</v>
      </c>
      <c r="R82" s="646">
        <f>IF('Table 3a'!AB83="","",'Table 3a'!AB83)</f>
        <v>309</v>
      </c>
      <c r="S82" s="646">
        <f t="shared" si="37"/>
        <v>3065.721585760518</v>
      </c>
      <c r="T82" s="649" t="s">
        <v>642</v>
      </c>
      <c r="U82" s="649">
        <v>50060.7797667121</v>
      </c>
      <c r="V82" s="649">
        <v>4203</v>
      </c>
      <c r="W82" s="651"/>
      <c r="X82" s="649">
        <v>22409</v>
      </c>
      <c r="Y82" s="649">
        <v>0</v>
      </c>
      <c r="Z82" s="649">
        <v>0</v>
      </c>
      <c r="AA82" s="649">
        <v>0</v>
      </c>
      <c r="AB82" s="649">
        <v>0</v>
      </c>
      <c r="AC82" s="649">
        <f t="shared" si="38"/>
        <v>35854</v>
      </c>
      <c r="AD82" s="647"/>
      <c r="AE82" s="652"/>
      <c r="AF82" s="653"/>
      <c r="AG82" s="654"/>
      <c r="AH82" s="655"/>
      <c r="AI82" s="656"/>
      <c r="AJ82" s="657"/>
      <c r="AK82" s="658"/>
      <c r="AL82" s="658"/>
      <c r="AM82" s="658"/>
      <c r="AN82" s="657"/>
      <c r="AO82" s="658"/>
      <c r="AP82" s="658"/>
      <c r="AQ82" s="658"/>
      <c r="AR82" s="682"/>
      <c r="AS82" s="660">
        <f t="shared" si="39"/>
      </c>
      <c r="AT82" s="660">
        <f>IF(OR(OR(AND(C82="",D82&lt;&gt;""),AND(C82&lt;&gt;"",D82="")),AND(OR(SUM(Q82)&lt;&gt;0,SUM(R82)&lt;&gt;0,AND(U82&lt;&gt;"",U82&lt;&gt;0),AND(V82&lt;&gt;"",V82&lt;&gt;0),AND(W82&lt;&gt;"",W82&lt;&gt;0),AND(X82&lt;&gt;"",X82&lt;&gt;0),AND(Y82&lt;&gt;"",Y82&lt;&gt;0),AND(Z82&lt;&gt;"",Z82&lt;&gt;0),AND(AA82&lt;&gt;"",AA82&lt;&gt;0),AND(AB82&lt;&gt;"",AB82&lt;&gt;0),AND(AC82&lt;&gt;"",AC82&lt;&gt;0),AND(AD82&lt;&gt;"",AD82&lt;&gt;0),AE82&lt;&gt;"",AF82&lt;&gt;""),OR(C82="",D82=""))),"Error 2.11",IF(AND(C82&lt;&gt;"",ISNUMBER(D82)=FALSE),"Error 1.2",IF(AND(C82&lt;&gt;"",'Table 3a'!D83-INT('Table 3a'!D83)&lt;&gt;0),"Error 2.1",IF(AND(C82&lt;&gt;"",OR(D82&lt;2000,AND(D82&gt;3999,D82&lt;5200),AND(D82&gt;5299,D82&lt;5940),D82&gt;5949)),"Error 2.3",IF(AND(C82&lt;&gt;"",COUNTIF(startdfes:enddfes,D82)&gt;1),"Warning 1.2","")))))</f>
      </c>
      <c r="AU82" s="660">
        <f>IF(AND(OR(E82="",E82=0),C82="",D82=""),"",IF(AND(OR(C82&lt;&gt;"",D82&lt;&gt;""),E82=""),"Error 4.10.2",IF(AND(E82&lt;&gt;"",ISNUMBER(E82)=FALSE),"Error 1.2",IF(E82&lt;=0,"Error 1.4",IF('Table 3a'!AC83&lt;&gt;'Table 3a'!CA83,"Warning 2.7","")))))</f>
      </c>
      <c r="AV82" s="660">
        <f t="shared" si="40"/>
      </c>
      <c r="AW82" s="661"/>
      <c r="AX82" s="660">
        <f t="shared" si="41"/>
      </c>
      <c r="AY82" s="660">
        <f t="shared" si="42"/>
      </c>
      <c r="AZ82" s="660">
        <f t="shared" si="43"/>
      </c>
      <c r="BA82" s="660">
        <f t="shared" si="44"/>
      </c>
      <c r="BB82" s="660">
        <f t="shared" si="45"/>
      </c>
      <c r="BC82" s="660">
        <f t="shared" si="46"/>
      </c>
      <c r="BD82" s="660">
        <f t="shared" si="47"/>
      </c>
      <c r="BE82" s="660">
        <f t="shared" si="48"/>
      </c>
      <c r="BF82" s="660">
        <f t="shared" si="49"/>
      </c>
      <c r="BG82" s="660">
        <f>IF(AND(OR(Q82="",Q82=0),C82="",D82=""),"",IF(AND(OR(C82&lt;&gt;"",D82&lt;&gt;""),Q82=""),"Error 4.10.2",IF(AND(Q82&lt;&gt;"",ISNUMBER(Q82)=FALSE),"Error 1.2",IF(AND(OR(Q82&lt;10000,Q82&gt;10000000)),"Error 3.2.1",IF(ABS(('Table 3a'!BY83*2)-'Table 3a'!BZ83)&gt;50,"Error 3.7","")))))</f>
      </c>
      <c r="BH82" s="660">
        <f t="shared" si="50"/>
      </c>
      <c r="BI82" s="660">
        <f t="shared" si="51"/>
      </c>
      <c r="BJ82" s="660">
        <f t="shared" si="52"/>
      </c>
      <c r="BK82" s="660">
        <f t="shared" si="53"/>
      </c>
      <c r="BL82" s="660">
        <f t="shared" si="54"/>
      </c>
      <c r="BM82" s="663"/>
      <c r="BN82" s="660">
        <f t="shared" si="55"/>
      </c>
      <c r="BO82" s="660">
        <f t="shared" si="56"/>
      </c>
      <c r="BP82" s="660">
        <f t="shared" si="57"/>
      </c>
      <c r="BQ82" s="660">
        <f t="shared" si="58"/>
      </c>
      <c r="BR82" s="660">
        <f t="shared" si="59"/>
      </c>
      <c r="BS82" s="660">
        <f t="shared" si="60"/>
      </c>
      <c r="BT82" s="662"/>
      <c r="BU82" s="660">
        <f t="shared" si="61"/>
      </c>
      <c r="BV82" s="660">
        <f t="shared" si="62"/>
      </c>
      <c r="BW82" s="605">
        <f t="shared" si="63"/>
        <v>0</v>
      </c>
      <c r="BX82" s="660">
        <f t="shared" si="64"/>
      </c>
      <c r="BY82" s="664"/>
      <c r="BZ82" s="664"/>
      <c r="CA82" s="665"/>
      <c r="CB82" s="665"/>
      <c r="CC82" s="666"/>
      <c r="CD82" s="154"/>
      <c r="DG82" s="3"/>
    </row>
    <row r="83" spans="1:111" s="52" customFormat="1" ht="12.75">
      <c r="A83" s="681"/>
      <c r="B83" s="645">
        <f>IF('Table 3a'!B84="","",'Table 3a'!B84)</f>
        <v>50</v>
      </c>
      <c r="C83" s="644" t="str">
        <f>IF('Table 3a'!C84="","",'Table 3a'!C84)</f>
        <v>St Anthony's Catholic Primary School</v>
      </c>
      <c r="D83" s="645">
        <f>IF('Table 3a'!D84="","",'Table 3a'!D84)</f>
        <v>3510</v>
      </c>
      <c r="E83" s="646">
        <f>IF('Table 3a'!AC84="","",'Table 3a'!AC84)</f>
        <v>471267.38</v>
      </c>
      <c r="F83" s="646">
        <f>IF('Table 3a'!AJ84="","",'Table 3a'!AJ84)</f>
        <v>37134</v>
      </c>
      <c r="G83" s="647"/>
      <c r="H83" s="646">
        <f>IF('Table 3a'!AO84="","",'Table 3a'!AO84)</f>
        <v>0</v>
      </c>
      <c r="I83" s="646">
        <f>IF('Table 3a'!AU84="","",'Table 3a'!AU84)</f>
        <v>53648</v>
      </c>
      <c r="J83" s="646">
        <f>IF('Table 3a'!AX84="","",'Table 3a'!AX84)</f>
        <v>3265</v>
      </c>
      <c r="K83" s="646">
        <f>IF('Table 3a'!BC84="","",'Table 3a'!BC84)</f>
        <v>31894</v>
      </c>
      <c r="L83" s="646">
        <f>IF('Table 3a'!BI84="","",'Table 3a'!BI84)</f>
        <v>27941</v>
      </c>
      <c r="M83" s="646">
        <f>IF('Table 3a'!BN84="","",'Table 3a'!BN84)</f>
        <v>31032</v>
      </c>
      <c r="N83" s="646">
        <f>IF('Table 3a'!BT84="","",'Table 3a'!BT84)</f>
        <v>101645</v>
      </c>
      <c r="O83" s="646">
        <f>IF('Table 3a'!BW84="","",'Table 3a'!BW84)</f>
        <v>0</v>
      </c>
      <c r="P83" s="646">
        <f>IF('Table 3a'!BX84="","",'Table 3a'!BX84)</f>
        <v>0</v>
      </c>
      <c r="Q83" s="646">
        <f t="shared" si="36"/>
        <v>757826.38</v>
      </c>
      <c r="R83" s="646">
        <f>IF('Table 3a'!AB84="","",'Table 3a'!AB84)</f>
        <v>219.5</v>
      </c>
      <c r="S83" s="646">
        <f t="shared" si="37"/>
        <v>3452.5119817767654</v>
      </c>
      <c r="T83" s="649" t="s">
        <v>642</v>
      </c>
      <c r="U83" s="649">
        <v>40078.59516208213</v>
      </c>
      <c r="V83" s="649">
        <v>9229</v>
      </c>
      <c r="W83" s="651"/>
      <c r="X83" s="649">
        <v>117381</v>
      </c>
      <c r="Y83" s="649">
        <v>0</v>
      </c>
      <c r="Z83" s="649">
        <v>0</v>
      </c>
      <c r="AA83" s="649">
        <v>0</v>
      </c>
      <c r="AB83" s="649">
        <v>0</v>
      </c>
      <c r="AC83" s="649">
        <f t="shared" si="38"/>
        <v>56913</v>
      </c>
      <c r="AD83" s="647"/>
      <c r="AE83" s="652"/>
      <c r="AF83" s="653"/>
      <c r="AG83" s="654"/>
      <c r="AH83" s="655"/>
      <c r="AI83" s="656"/>
      <c r="AJ83" s="657"/>
      <c r="AK83" s="658"/>
      <c r="AL83" s="658"/>
      <c r="AM83" s="658"/>
      <c r="AN83" s="657"/>
      <c r="AO83" s="658"/>
      <c r="AP83" s="658"/>
      <c r="AQ83" s="658"/>
      <c r="AR83" s="682"/>
      <c r="AS83" s="660">
        <f t="shared" si="39"/>
      </c>
      <c r="AT83" s="660">
        <f>IF(OR(OR(AND(C83="",D83&lt;&gt;""),AND(C83&lt;&gt;"",D83="")),AND(OR(SUM(Q83)&lt;&gt;0,SUM(R83)&lt;&gt;0,AND(U83&lt;&gt;"",U83&lt;&gt;0),AND(V83&lt;&gt;"",V83&lt;&gt;0),AND(W83&lt;&gt;"",W83&lt;&gt;0),AND(X83&lt;&gt;"",X83&lt;&gt;0),AND(Y83&lt;&gt;"",Y83&lt;&gt;0),AND(Z83&lt;&gt;"",Z83&lt;&gt;0),AND(AA83&lt;&gt;"",AA83&lt;&gt;0),AND(AB83&lt;&gt;"",AB83&lt;&gt;0),AND(AC83&lt;&gt;"",AC83&lt;&gt;0),AND(AD83&lt;&gt;"",AD83&lt;&gt;0),AE83&lt;&gt;"",AF83&lt;&gt;""),OR(C83="",D83=""))),"Error 2.11",IF(AND(C83&lt;&gt;"",ISNUMBER(D83)=FALSE),"Error 1.2",IF(AND(C83&lt;&gt;"",'Table 3a'!D84-INT('Table 3a'!D84)&lt;&gt;0),"Error 2.1",IF(AND(C83&lt;&gt;"",OR(D83&lt;2000,AND(D83&gt;3999,D83&lt;5200),AND(D83&gt;5299,D83&lt;5940),D83&gt;5949)),"Error 2.3",IF(AND(C83&lt;&gt;"",COUNTIF(startdfes:enddfes,D83)&gt;1),"Warning 1.2","")))))</f>
      </c>
      <c r="AU83" s="660">
        <f>IF(AND(OR(E83="",E83=0),C83="",D83=""),"",IF(AND(OR(C83&lt;&gt;"",D83&lt;&gt;""),E83=""),"Error 4.10.2",IF(AND(E83&lt;&gt;"",ISNUMBER(E83)=FALSE),"Error 1.2",IF(E83&lt;=0,"Error 1.4",IF('Table 3a'!AC84&lt;&gt;'Table 3a'!CA84,"Warning 2.7","")))))</f>
      </c>
      <c r="AV83" s="660">
        <f t="shared" si="40"/>
      </c>
      <c r="AW83" s="661"/>
      <c r="AX83" s="660">
        <f t="shared" si="41"/>
      </c>
      <c r="AY83" s="660">
        <f t="shared" si="42"/>
      </c>
      <c r="AZ83" s="660">
        <f t="shared" si="43"/>
      </c>
      <c r="BA83" s="660">
        <f t="shared" si="44"/>
      </c>
      <c r="BB83" s="660">
        <f t="shared" si="45"/>
      </c>
      <c r="BC83" s="660">
        <f t="shared" si="46"/>
      </c>
      <c r="BD83" s="660">
        <f t="shared" si="47"/>
      </c>
      <c r="BE83" s="660">
        <f t="shared" si="48"/>
      </c>
      <c r="BF83" s="660">
        <f t="shared" si="49"/>
      </c>
      <c r="BG83" s="660">
        <f>IF(AND(OR(Q83="",Q83=0),C83="",D83=""),"",IF(AND(OR(C83&lt;&gt;"",D83&lt;&gt;""),Q83=""),"Error 4.10.2",IF(AND(Q83&lt;&gt;"",ISNUMBER(Q83)=FALSE),"Error 1.2",IF(AND(OR(Q83&lt;10000,Q83&gt;10000000)),"Error 3.2.1",IF(ABS(('Table 3a'!BY84*2)-'Table 3a'!BZ84)&gt;50,"Error 3.7","")))))</f>
      </c>
      <c r="BH83" s="660">
        <f t="shared" si="50"/>
      </c>
      <c r="BI83" s="660">
        <f t="shared" si="51"/>
      </c>
      <c r="BJ83" s="660">
        <f t="shared" si="52"/>
      </c>
      <c r="BK83" s="660">
        <f t="shared" si="53"/>
      </c>
      <c r="BL83" s="660">
        <f t="shared" si="54"/>
      </c>
      <c r="BM83" s="663"/>
      <c r="BN83" s="660">
        <f t="shared" si="55"/>
      </c>
      <c r="BO83" s="660">
        <f t="shared" si="56"/>
      </c>
      <c r="BP83" s="660">
        <f t="shared" si="57"/>
      </c>
      <c r="BQ83" s="660">
        <f t="shared" si="58"/>
      </c>
      <c r="BR83" s="660">
        <f t="shared" si="59"/>
      </c>
      <c r="BS83" s="660">
        <f t="shared" si="60"/>
      </c>
      <c r="BT83" s="662"/>
      <c r="BU83" s="660">
        <f t="shared" si="61"/>
      </c>
      <c r="BV83" s="660">
        <f t="shared" si="62"/>
      </c>
      <c r="BW83" s="605">
        <f t="shared" si="63"/>
        <v>0</v>
      </c>
      <c r="BX83" s="660">
        <f t="shared" si="64"/>
      </c>
      <c r="BY83" s="664"/>
      <c r="BZ83" s="664"/>
      <c r="CA83" s="665"/>
      <c r="CB83" s="665"/>
      <c r="CC83" s="666"/>
      <c r="CD83" s="154"/>
      <c r="DG83" s="3"/>
    </row>
    <row r="84" spans="1:111" s="52" customFormat="1" ht="12.75">
      <c r="A84" s="681"/>
      <c r="B84" s="645">
        <f>IF('Table 3a'!B85="","",'Table 3a'!B85)</f>
        <v>49</v>
      </c>
      <c r="C84" s="644" t="str">
        <f>IF('Table 3a'!C85="","",'Table 3a'!C85)</f>
        <v>St Anne's Catholic Primary School</v>
      </c>
      <c r="D84" s="645">
        <f>IF('Table 3a'!D85="","",'Table 3a'!D85)</f>
        <v>3511</v>
      </c>
      <c r="E84" s="646">
        <f>IF('Table 3a'!AC85="","",'Table 3a'!AC85)</f>
        <v>772109.05</v>
      </c>
      <c r="F84" s="646">
        <f>IF('Table 3a'!AJ85="","",'Table 3a'!AJ85)</f>
        <v>79614</v>
      </c>
      <c r="G84" s="647"/>
      <c r="H84" s="646">
        <f>IF('Table 3a'!AO85="","",'Table 3a'!AO85)</f>
        <v>0</v>
      </c>
      <c r="I84" s="646">
        <f>IF('Table 3a'!AU85="","",'Table 3a'!AU85)</f>
        <v>60611</v>
      </c>
      <c r="J84" s="646">
        <f>IF('Table 3a'!AX85="","",'Table 3a'!AX85)</f>
        <v>3265</v>
      </c>
      <c r="K84" s="646">
        <f>IF('Table 3a'!BC85="","",'Table 3a'!BC85)</f>
        <v>43600</v>
      </c>
      <c r="L84" s="646">
        <f>IF('Table 3a'!BI85="","",'Table 3a'!BI85)</f>
        <v>41079</v>
      </c>
      <c r="M84" s="646">
        <f>IF('Table 3a'!BN85="","",'Table 3a'!BN85)</f>
        <v>55998</v>
      </c>
      <c r="N84" s="646">
        <f>IF('Table 3a'!BT85="","",'Table 3a'!BT85)</f>
        <v>81170</v>
      </c>
      <c r="O84" s="646">
        <f>IF('Table 3a'!BW85="","",'Table 3a'!BW85)</f>
        <v>0</v>
      </c>
      <c r="P84" s="646">
        <f>IF('Table 3a'!BX85="","",'Table 3a'!BX85)</f>
        <v>0</v>
      </c>
      <c r="Q84" s="646">
        <f t="shared" si="36"/>
        <v>1137446.05</v>
      </c>
      <c r="R84" s="646">
        <f>IF('Table 3a'!AB85="","",'Table 3a'!AB85)</f>
        <v>358</v>
      </c>
      <c r="S84" s="646">
        <f t="shared" si="37"/>
        <v>3177.2236033519553</v>
      </c>
      <c r="T84" s="649" t="s">
        <v>642</v>
      </c>
      <c r="U84" s="649">
        <v>77173.17101121231</v>
      </c>
      <c r="V84" s="649">
        <v>14011</v>
      </c>
      <c r="W84" s="651"/>
      <c r="X84" s="649">
        <v>122477</v>
      </c>
      <c r="Y84" s="649">
        <v>0</v>
      </c>
      <c r="Z84" s="649">
        <v>0</v>
      </c>
      <c r="AA84" s="649">
        <v>0</v>
      </c>
      <c r="AB84" s="649">
        <v>0</v>
      </c>
      <c r="AC84" s="649">
        <f t="shared" si="38"/>
        <v>63876</v>
      </c>
      <c r="AD84" s="647"/>
      <c r="AE84" s="652"/>
      <c r="AF84" s="653"/>
      <c r="AG84" s="654"/>
      <c r="AH84" s="655"/>
      <c r="AI84" s="656"/>
      <c r="AJ84" s="657"/>
      <c r="AK84" s="658"/>
      <c r="AL84" s="658"/>
      <c r="AM84" s="658"/>
      <c r="AN84" s="657"/>
      <c r="AO84" s="658"/>
      <c r="AP84" s="658"/>
      <c r="AQ84" s="658"/>
      <c r="AR84" s="682"/>
      <c r="AS84" s="660">
        <f t="shared" si="39"/>
      </c>
      <c r="AT84" s="660">
        <f>IF(OR(OR(AND(C84="",D84&lt;&gt;""),AND(C84&lt;&gt;"",D84="")),AND(OR(SUM(Q84)&lt;&gt;0,SUM(R84)&lt;&gt;0,AND(U84&lt;&gt;"",U84&lt;&gt;0),AND(V84&lt;&gt;"",V84&lt;&gt;0),AND(W84&lt;&gt;"",W84&lt;&gt;0),AND(X84&lt;&gt;"",X84&lt;&gt;0),AND(Y84&lt;&gt;"",Y84&lt;&gt;0),AND(Z84&lt;&gt;"",Z84&lt;&gt;0),AND(AA84&lt;&gt;"",AA84&lt;&gt;0),AND(AB84&lt;&gt;"",AB84&lt;&gt;0),AND(AC84&lt;&gt;"",AC84&lt;&gt;0),AND(AD84&lt;&gt;"",AD84&lt;&gt;0),AE84&lt;&gt;"",AF84&lt;&gt;""),OR(C84="",D84=""))),"Error 2.11",IF(AND(C84&lt;&gt;"",ISNUMBER(D84)=FALSE),"Error 1.2",IF(AND(C84&lt;&gt;"",'Table 3a'!D85-INT('Table 3a'!D85)&lt;&gt;0),"Error 2.1",IF(AND(C84&lt;&gt;"",OR(D84&lt;2000,AND(D84&gt;3999,D84&lt;5200),AND(D84&gt;5299,D84&lt;5940),D84&gt;5949)),"Error 2.3",IF(AND(C84&lt;&gt;"",COUNTIF(startdfes:enddfes,D84)&gt;1),"Warning 1.2","")))))</f>
      </c>
      <c r="AU84" s="660">
        <f>IF(AND(OR(E84="",E84=0),C84="",D84=""),"",IF(AND(OR(C84&lt;&gt;"",D84&lt;&gt;""),E84=""),"Error 4.10.2",IF(AND(E84&lt;&gt;"",ISNUMBER(E84)=FALSE),"Error 1.2",IF(E84&lt;=0,"Error 1.4",IF('Table 3a'!AC85&lt;&gt;'Table 3a'!CA85,"Warning 2.7","")))))</f>
      </c>
      <c r="AV84" s="660">
        <f t="shared" si="40"/>
      </c>
      <c r="AW84" s="661"/>
      <c r="AX84" s="660">
        <f t="shared" si="41"/>
      </c>
      <c r="AY84" s="660">
        <f t="shared" si="42"/>
      </c>
      <c r="AZ84" s="660">
        <f t="shared" si="43"/>
      </c>
      <c r="BA84" s="660">
        <f t="shared" si="44"/>
      </c>
      <c r="BB84" s="660">
        <f t="shared" si="45"/>
      </c>
      <c r="BC84" s="660">
        <f t="shared" si="46"/>
      </c>
      <c r="BD84" s="660">
        <f t="shared" si="47"/>
      </c>
      <c r="BE84" s="660">
        <f t="shared" si="48"/>
      </c>
      <c r="BF84" s="660">
        <f t="shared" si="49"/>
      </c>
      <c r="BG84" s="660">
        <f>IF(AND(OR(Q84="",Q84=0),C84="",D84=""),"",IF(AND(OR(C84&lt;&gt;"",D84&lt;&gt;""),Q84=""),"Error 4.10.2",IF(AND(Q84&lt;&gt;"",ISNUMBER(Q84)=FALSE),"Error 1.2",IF(AND(OR(Q84&lt;10000,Q84&gt;10000000)),"Error 3.2.1",IF(ABS(('Table 3a'!BY85*2)-'Table 3a'!BZ85)&gt;50,"Error 3.7","")))))</f>
      </c>
      <c r="BH84" s="660">
        <f t="shared" si="50"/>
      </c>
      <c r="BI84" s="660">
        <f t="shared" si="51"/>
      </c>
      <c r="BJ84" s="660">
        <f t="shared" si="52"/>
      </c>
      <c r="BK84" s="660">
        <f t="shared" si="53"/>
      </c>
      <c r="BL84" s="660">
        <f t="shared" si="54"/>
      </c>
      <c r="BM84" s="663"/>
      <c r="BN84" s="660">
        <f t="shared" si="55"/>
      </c>
      <c r="BO84" s="660">
        <f t="shared" si="56"/>
      </c>
      <c r="BP84" s="660">
        <f t="shared" si="57"/>
      </c>
      <c r="BQ84" s="660">
        <f t="shared" si="58"/>
      </c>
      <c r="BR84" s="660">
        <f t="shared" si="59"/>
      </c>
      <c r="BS84" s="660">
        <f t="shared" si="60"/>
      </c>
      <c r="BT84" s="662"/>
      <c r="BU84" s="660">
        <f t="shared" si="61"/>
      </c>
      <c r="BV84" s="660">
        <f t="shared" si="62"/>
      </c>
      <c r="BW84" s="605">
        <f t="shared" si="63"/>
        <v>0</v>
      </c>
      <c r="BX84" s="660">
        <f t="shared" si="64"/>
      </c>
      <c r="BY84" s="664"/>
      <c r="BZ84" s="664"/>
      <c r="CA84" s="665"/>
      <c r="CB84" s="665"/>
      <c r="CC84" s="666"/>
      <c r="CD84" s="154"/>
      <c r="DG84" s="3"/>
    </row>
    <row r="85" spans="1:111" s="52" customFormat="1" ht="12.75">
      <c r="A85" s="681"/>
      <c r="B85" s="645">
        <f>IF('Table 3a'!B86="","",'Table 3a'!B86)</f>
        <v>6</v>
      </c>
      <c r="C85" s="644" t="str">
        <f>IF('Table 3a'!C86="","",'Table 3a'!C86)</f>
        <v>Bishop Wilson Church of England Primary School</v>
      </c>
      <c r="D85" s="645">
        <f>IF('Table 3a'!D86="","",'Table 3a'!D86)</f>
        <v>3512</v>
      </c>
      <c r="E85" s="646">
        <f>IF('Table 3a'!AC86="","",'Table 3a'!AC86)</f>
        <v>735127.92</v>
      </c>
      <c r="F85" s="646">
        <f>IF('Table 3a'!AJ86="","",'Table 3a'!AJ86)</f>
        <v>76074</v>
      </c>
      <c r="G85" s="647"/>
      <c r="H85" s="646">
        <f>IF('Table 3a'!AO86="","",'Table 3a'!AO86)</f>
        <v>0</v>
      </c>
      <c r="I85" s="646">
        <f>IF('Table 3a'!AU86="","",'Table 3a'!AU86)</f>
        <v>88913</v>
      </c>
      <c r="J85" s="646">
        <f>IF('Table 3a'!AX86="","",'Table 3a'!AX86)</f>
        <v>3265</v>
      </c>
      <c r="K85" s="646">
        <f>IF('Table 3a'!BC86="","",'Table 3a'!BC86)</f>
        <v>42883</v>
      </c>
      <c r="L85" s="646">
        <f>IF('Table 3a'!BI86="","",'Table 3a'!BI86)</f>
        <v>47129</v>
      </c>
      <c r="M85" s="646">
        <f>IF('Table 3a'!BN86="","",'Table 3a'!BN86)</f>
        <v>63456</v>
      </c>
      <c r="N85" s="646">
        <f>IF('Table 3a'!BT86="","",'Table 3a'!BT86)</f>
        <v>81170</v>
      </c>
      <c r="O85" s="646">
        <f>IF('Table 3a'!BW86="","",'Table 3a'!BW86)</f>
        <v>0</v>
      </c>
      <c r="P85" s="646">
        <f>IF('Table 3a'!BX86="","",'Table 3a'!BX86)</f>
        <v>0</v>
      </c>
      <c r="Q85" s="646">
        <f t="shared" si="36"/>
        <v>1138017.92</v>
      </c>
      <c r="R85" s="646">
        <f>IF('Table 3a'!AB86="","",'Table 3a'!AB86)</f>
        <v>347.5</v>
      </c>
      <c r="S85" s="646">
        <f t="shared" si="37"/>
        <v>3274.8717122302155</v>
      </c>
      <c r="T85" s="649" t="s">
        <v>642</v>
      </c>
      <c r="U85" s="649">
        <v>55669.607318181814</v>
      </c>
      <c r="V85" s="649">
        <v>13281</v>
      </c>
      <c r="W85" s="651"/>
      <c r="X85" s="649">
        <v>163605</v>
      </c>
      <c r="Y85" s="649">
        <v>0</v>
      </c>
      <c r="Z85" s="649">
        <v>0</v>
      </c>
      <c r="AA85" s="649">
        <v>0</v>
      </c>
      <c r="AB85" s="649">
        <v>0</v>
      </c>
      <c r="AC85" s="649">
        <f t="shared" si="38"/>
        <v>92178</v>
      </c>
      <c r="AD85" s="647"/>
      <c r="AE85" s="652"/>
      <c r="AF85" s="653"/>
      <c r="AG85" s="654"/>
      <c r="AH85" s="655"/>
      <c r="AI85" s="656"/>
      <c r="AJ85" s="657"/>
      <c r="AK85" s="658"/>
      <c r="AL85" s="658"/>
      <c r="AM85" s="658"/>
      <c r="AN85" s="657"/>
      <c r="AO85" s="658"/>
      <c r="AP85" s="658"/>
      <c r="AQ85" s="658"/>
      <c r="AR85" s="682"/>
      <c r="AS85" s="660">
        <f t="shared" si="39"/>
      </c>
      <c r="AT85" s="660">
        <f>IF(OR(OR(AND(C85="",D85&lt;&gt;""),AND(C85&lt;&gt;"",D85="")),AND(OR(SUM(Q85)&lt;&gt;0,SUM(R85)&lt;&gt;0,AND(U85&lt;&gt;"",U85&lt;&gt;0),AND(V85&lt;&gt;"",V85&lt;&gt;0),AND(W85&lt;&gt;"",W85&lt;&gt;0),AND(X85&lt;&gt;"",X85&lt;&gt;0),AND(Y85&lt;&gt;"",Y85&lt;&gt;0),AND(Z85&lt;&gt;"",Z85&lt;&gt;0),AND(AA85&lt;&gt;"",AA85&lt;&gt;0),AND(AB85&lt;&gt;"",AB85&lt;&gt;0),AND(AC85&lt;&gt;"",AC85&lt;&gt;0),AND(AD85&lt;&gt;"",AD85&lt;&gt;0),AE85&lt;&gt;"",AF85&lt;&gt;""),OR(C85="",D85=""))),"Error 2.11",IF(AND(C85&lt;&gt;"",ISNUMBER(D85)=FALSE),"Error 1.2",IF(AND(C85&lt;&gt;"",'Table 3a'!D86-INT('Table 3a'!D86)&lt;&gt;0),"Error 2.1",IF(AND(C85&lt;&gt;"",OR(D85&lt;2000,AND(D85&gt;3999,D85&lt;5200),AND(D85&gt;5299,D85&lt;5940),D85&gt;5949)),"Error 2.3",IF(AND(C85&lt;&gt;"",COUNTIF(startdfes:enddfes,D85)&gt;1),"Warning 1.2","")))))</f>
      </c>
      <c r="AU85" s="660">
        <f>IF(AND(OR(E85="",E85=0),C85="",D85=""),"",IF(AND(OR(C85&lt;&gt;"",D85&lt;&gt;""),E85=""),"Error 4.10.2",IF(AND(E85&lt;&gt;"",ISNUMBER(E85)=FALSE),"Error 1.2",IF(E85&lt;=0,"Error 1.4",IF('Table 3a'!AC86&lt;&gt;'Table 3a'!CA86,"Warning 2.7","")))))</f>
      </c>
      <c r="AV85" s="660">
        <f t="shared" si="40"/>
      </c>
      <c r="AW85" s="661"/>
      <c r="AX85" s="660">
        <f t="shared" si="41"/>
      </c>
      <c r="AY85" s="660">
        <f t="shared" si="42"/>
      </c>
      <c r="AZ85" s="660">
        <f t="shared" si="43"/>
      </c>
      <c r="BA85" s="660">
        <f t="shared" si="44"/>
      </c>
      <c r="BB85" s="660">
        <f t="shared" si="45"/>
      </c>
      <c r="BC85" s="660">
        <f t="shared" si="46"/>
      </c>
      <c r="BD85" s="660">
        <f t="shared" si="47"/>
      </c>
      <c r="BE85" s="660">
        <f t="shared" si="48"/>
      </c>
      <c r="BF85" s="660">
        <f t="shared" si="49"/>
      </c>
      <c r="BG85" s="660">
        <f>IF(AND(OR(Q85="",Q85=0),C85="",D85=""),"",IF(AND(OR(C85&lt;&gt;"",D85&lt;&gt;""),Q85=""),"Error 4.10.2",IF(AND(Q85&lt;&gt;"",ISNUMBER(Q85)=FALSE),"Error 1.2",IF(AND(OR(Q85&lt;10000,Q85&gt;10000000)),"Error 3.2.1",IF(ABS(('Table 3a'!BY86*2)-'Table 3a'!BZ86)&gt;50,"Error 3.7","")))))</f>
      </c>
      <c r="BH85" s="660">
        <f t="shared" si="50"/>
      </c>
      <c r="BI85" s="660">
        <f t="shared" si="51"/>
      </c>
      <c r="BJ85" s="660">
        <f t="shared" si="52"/>
      </c>
      <c r="BK85" s="660">
        <f t="shared" si="53"/>
      </c>
      <c r="BL85" s="660">
        <f t="shared" si="54"/>
      </c>
      <c r="BM85" s="663"/>
      <c r="BN85" s="660">
        <f t="shared" si="55"/>
      </c>
      <c r="BO85" s="660">
        <f t="shared" si="56"/>
      </c>
      <c r="BP85" s="660">
        <f t="shared" si="57"/>
      </c>
      <c r="BQ85" s="660">
        <f t="shared" si="58"/>
      </c>
      <c r="BR85" s="660">
        <f t="shared" si="59"/>
      </c>
      <c r="BS85" s="660">
        <f t="shared" si="60"/>
      </c>
      <c r="BT85" s="662"/>
      <c r="BU85" s="660">
        <f t="shared" si="61"/>
      </c>
      <c r="BV85" s="660">
        <f t="shared" si="62"/>
      </c>
      <c r="BW85" s="605">
        <f t="shared" si="63"/>
        <v>0</v>
      </c>
      <c r="BX85" s="660">
        <f t="shared" si="64"/>
      </c>
      <c r="BY85" s="664"/>
      <c r="BZ85" s="664"/>
      <c r="CA85" s="665"/>
      <c r="CB85" s="665"/>
      <c r="CC85" s="666"/>
      <c r="CD85" s="154"/>
      <c r="DG85" s="3"/>
    </row>
    <row r="86" spans="1:111" s="52" customFormat="1" ht="12.75">
      <c r="A86" s="681"/>
      <c r="B86" s="645">
        <f>IF('Table 3a'!B87="","",'Table 3a'!B87)</f>
        <v>54</v>
      </c>
      <c r="C86" s="644" t="str">
        <f>IF('Table 3a'!C87="","",'Table 3a'!C87)</f>
        <v>St John the Baptist Catholic Primary School</v>
      </c>
      <c r="D86" s="645">
        <f>IF('Table 3a'!D87="","",'Table 3a'!D87)</f>
        <v>3516</v>
      </c>
      <c r="E86" s="646">
        <f>IF('Table 3a'!AC87="","",'Table 3a'!AC87)</f>
        <v>350305.98</v>
      </c>
      <c r="F86" s="646">
        <f>IF('Table 3a'!AJ87="","",'Table 3a'!AJ87)</f>
        <v>42756</v>
      </c>
      <c r="G86" s="647"/>
      <c r="H86" s="646">
        <f>IF('Table 3a'!AO87="","",'Table 3a'!AO87)</f>
        <v>0</v>
      </c>
      <c r="I86" s="646">
        <f>IF('Table 3a'!AU87="","",'Table 3a'!AU87)</f>
        <v>38013</v>
      </c>
      <c r="J86" s="646">
        <f>IF('Table 3a'!AX87="","",'Table 3a'!AX87)</f>
        <v>3265</v>
      </c>
      <c r="K86" s="646">
        <f>IF('Table 3a'!BC87="","",'Table 3a'!BC87)</f>
        <v>21751</v>
      </c>
      <c r="L86" s="646">
        <f>IF('Table 3a'!BI87="","",'Table 3a'!BI87)</f>
        <v>28229</v>
      </c>
      <c r="M86" s="646">
        <f>IF('Table 3a'!BN87="","",'Table 3a'!BN87)</f>
        <v>43198</v>
      </c>
      <c r="N86" s="646">
        <f>IF('Table 3a'!BT87="","",'Table 3a'!BT87)</f>
        <v>117820</v>
      </c>
      <c r="O86" s="646">
        <f>IF('Table 3a'!BW87="","",'Table 3a'!BW87)</f>
        <v>0</v>
      </c>
      <c r="P86" s="646">
        <f>IF('Table 3a'!BX87="","",'Table 3a'!BX87)</f>
        <v>3588</v>
      </c>
      <c r="Q86" s="646">
        <f t="shared" si="36"/>
        <v>648925.98</v>
      </c>
      <c r="R86" s="646">
        <f>IF('Table 3a'!AB87="","",'Table 3a'!AB87)</f>
        <v>163</v>
      </c>
      <c r="S86" s="646">
        <f t="shared" si="37"/>
        <v>3981.140981595092</v>
      </c>
      <c r="T86" s="649" t="s">
        <v>642</v>
      </c>
      <c r="U86" s="649">
        <v>32656.59884704761</v>
      </c>
      <c r="V86" s="649">
        <v>4426</v>
      </c>
      <c r="W86" s="651"/>
      <c r="X86" s="649">
        <v>76817</v>
      </c>
      <c r="Y86" s="649">
        <v>0</v>
      </c>
      <c r="Z86" s="649">
        <v>0</v>
      </c>
      <c r="AA86" s="649">
        <v>0</v>
      </c>
      <c r="AB86" s="649">
        <v>0</v>
      </c>
      <c r="AC86" s="649">
        <f t="shared" si="38"/>
        <v>41278</v>
      </c>
      <c r="AD86" s="647"/>
      <c r="AE86" s="652"/>
      <c r="AF86" s="653"/>
      <c r="AG86" s="654"/>
      <c r="AH86" s="655"/>
      <c r="AI86" s="656"/>
      <c r="AJ86" s="657"/>
      <c r="AK86" s="658"/>
      <c r="AL86" s="658"/>
      <c r="AM86" s="658"/>
      <c r="AN86" s="657"/>
      <c r="AO86" s="658"/>
      <c r="AP86" s="658"/>
      <c r="AQ86" s="658"/>
      <c r="AR86" s="682"/>
      <c r="AS86" s="660">
        <f t="shared" si="39"/>
      </c>
      <c r="AT86" s="660">
        <f>IF(OR(OR(AND(C86="",D86&lt;&gt;""),AND(C86&lt;&gt;"",D86="")),AND(OR(SUM(Q86)&lt;&gt;0,SUM(R86)&lt;&gt;0,AND(U86&lt;&gt;"",U86&lt;&gt;0),AND(V86&lt;&gt;"",V86&lt;&gt;0),AND(W86&lt;&gt;"",W86&lt;&gt;0),AND(X86&lt;&gt;"",X86&lt;&gt;0),AND(Y86&lt;&gt;"",Y86&lt;&gt;0),AND(Z86&lt;&gt;"",Z86&lt;&gt;0),AND(AA86&lt;&gt;"",AA86&lt;&gt;0),AND(AB86&lt;&gt;"",AB86&lt;&gt;0),AND(AC86&lt;&gt;"",AC86&lt;&gt;0),AND(AD86&lt;&gt;"",AD86&lt;&gt;0),AE86&lt;&gt;"",AF86&lt;&gt;""),OR(C86="",D86=""))),"Error 2.11",IF(AND(C86&lt;&gt;"",ISNUMBER(D86)=FALSE),"Error 1.2",IF(AND(C86&lt;&gt;"",'Table 3a'!D87-INT('Table 3a'!D87)&lt;&gt;0),"Error 2.1",IF(AND(C86&lt;&gt;"",OR(D86&lt;2000,AND(D86&gt;3999,D86&lt;5200),AND(D86&gt;5299,D86&lt;5940),D86&gt;5949)),"Error 2.3",IF(AND(C86&lt;&gt;"",COUNTIF(startdfes:enddfes,D86)&gt;1),"Warning 1.2","")))))</f>
      </c>
      <c r="AU86" s="660">
        <f>IF(AND(OR(E86="",E86=0),C86="",D86=""),"",IF(AND(OR(C86&lt;&gt;"",D86&lt;&gt;""),E86=""),"Error 4.10.2",IF(AND(E86&lt;&gt;"",ISNUMBER(E86)=FALSE),"Error 1.2",IF(E86&lt;=0,"Error 1.4",IF('Table 3a'!AC87&lt;&gt;'Table 3a'!CA87,"Warning 2.7","")))))</f>
      </c>
      <c r="AV86" s="660">
        <f t="shared" si="40"/>
      </c>
      <c r="AW86" s="661"/>
      <c r="AX86" s="660">
        <f t="shared" si="41"/>
      </c>
      <c r="AY86" s="660">
        <f t="shared" si="42"/>
      </c>
      <c r="AZ86" s="660">
        <f t="shared" si="43"/>
      </c>
      <c r="BA86" s="660">
        <f t="shared" si="44"/>
      </c>
      <c r="BB86" s="660">
        <f t="shared" si="45"/>
      </c>
      <c r="BC86" s="660">
        <f t="shared" si="46"/>
      </c>
      <c r="BD86" s="660">
        <f t="shared" si="47"/>
      </c>
      <c r="BE86" s="660">
        <f t="shared" si="48"/>
      </c>
      <c r="BF86" s="660">
        <f t="shared" si="49"/>
      </c>
      <c r="BG86" s="660">
        <f>IF(AND(OR(Q86="",Q86=0),C86="",D86=""),"",IF(AND(OR(C86&lt;&gt;"",D86&lt;&gt;""),Q86=""),"Error 4.10.2",IF(AND(Q86&lt;&gt;"",ISNUMBER(Q86)=FALSE),"Error 1.2",IF(AND(OR(Q86&lt;10000,Q86&gt;10000000)),"Error 3.2.1",IF(ABS(('Table 3a'!BY87*2)-'Table 3a'!BZ87)&gt;50,"Error 3.7","")))))</f>
      </c>
      <c r="BH86" s="660">
        <f t="shared" si="50"/>
      </c>
      <c r="BI86" s="660">
        <f t="shared" si="51"/>
      </c>
      <c r="BJ86" s="660">
        <f t="shared" si="52"/>
      </c>
      <c r="BK86" s="660">
        <f t="shared" si="53"/>
      </c>
      <c r="BL86" s="660">
        <f t="shared" si="54"/>
      </c>
      <c r="BM86" s="663"/>
      <c r="BN86" s="660">
        <f t="shared" si="55"/>
      </c>
      <c r="BO86" s="660">
        <f t="shared" si="56"/>
      </c>
      <c r="BP86" s="660">
        <f t="shared" si="57"/>
      </c>
      <c r="BQ86" s="660">
        <f t="shared" si="58"/>
      </c>
      <c r="BR86" s="660">
        <f t="shared" si="59"/>
      </c>
      <c r="BS86" s="660">
        <f t="shared" si="60"/>
      </c>
      <c r="BT86" s="662"/>
      <c r="BU86" s="660">
        <f t="shared" si="61"/>
      </c>
      <c r="BV86" s="660">
        <f t="shared" si="62"/>
      </c>
      <c r="BW86" s="605">
        <f t="shared" si="63"/>
        <v>0</v>
      </c>
      <c r="BX86" s="660">
        <f t="shared" si="64"/>
      </c>
      <c r="BY86" s="664"/>
      <c r="BZ86" s="664"/>
      <c r="CA86" s="665"/>
      <c r="CB86" s="665"/>
      <c r="CC86" s="666"/>
      <c r="CD86" s="154"/>
      <c r="DG86" s="3"/>
    </row>
    <row r="87" spans="1:111" s="52" customFormat="1" ht="12.75">
      <c r="A87" s="681"/>
      <c r="B87" s="645">
        <f>IF('Table 3a'!B88="","",'Table 3a'!B88)</f>
        <v>31</v>
      </c>
      <c r="C87" s="644" t="str">
        <f>IF('Table 3a'!C88="","",'Table 3a'!C88)</f>
        <v>Kingshurst Primary School</v>
      </c>
      <c r="D87" s="645">
        <f>IF('Table 3a'!D88="","",'Table 3a'!D88)</f>
        <v>3517</v>
      </c>
      <c r="E87" s="646">
        <f>IF('Table 3a'!AC88="","",'Table 3a'!AC88)</f>
        <v>858870.9799999999</v>
      </c>
      <c r="F87" s="646">
        <f>IF('Table 3a'!AJ88="","",'Table 3a'!AJ88)</f>
        <v>77531</v>
      </c>
      <c r="G87" s="647"/>
      <c r="H87" s="646">
        <f>IF('Table 3a'!AO88="","",'Table 3a'!AO88)</f>
        <v>0</v>
      </c>
      <c r="I87" s="646">
        <f>IF('Table 3a'!AU88="","",'Table 3a'!AU88)</f>
        <v>93126</v>
      </c>
      <c r="J87" s="646">
        <f>IF('Table 3a'!AX88="","",'Table 3a'!AX88)</f>
        <v>3265</v>
      </c>
      <c r="K87" s="646">
        <f>IF('Table 3a'!BC88="","",'Table 3a'!BC88)</f>
        <v>53362</v>
      </c>
      <c r="L87" s="646">
        <f>IF('Table 3a'!BI88="","",'Table 3a'!BI88)</f>
        <v>55250</v>
      </c>
      <c r="M87" s="646">
        <f>IF('Table 3a'!BN88="","",'Table 3a'!BN88)</f>
        <v>106654</v>
      </c>
      <c r="N87" s="646">
        <f>IF('Table 3a'!BT88="","",'Table 3a'!BT88)</f>
        <v>81170</v>
      </c>
      <c r="O87" s="646">
        <f>IF('Table 3a'!BW88="","",'Table 3a'!BW88)</f>
        <v>0</v>
      </c>
      <c r="P87" s="646">
        <f>IF('Table 3a'!BX88="","",'Table 3a'!BX88)</f>
        <v>0</v>
      </c>
      <c r="Q87" s="646">
        <f t="shared" si="36"/>
        <v>1329228.98</v>
      </c>
      <c r="R87" s="646">
        <f>IF('Table 3a'!AB88="","",'Table 3a'!AB88)</f>
        <v>406</v>
      </c>
      <c r="S87" s="646">
        <f t="shared" si="37"/>
        <v>3273.963004926108</v>
      </c>
      <c r="T87" s="649" t="s">
        <v>642</v>
      </c>
      <c r="U87" s="649">
        <v>73491.58428381471</v>
      </c>
      <c r="V87" s="649">
        <v>12548</v>
      </c>
      <c r="W87" s="651"/>
      <c r="X87" s="649">
        <v>183849</v>
      </c>
      <c r="Y87" s="649">
        <v>0</v>
      </c>
      <c r="Z87" s="649">
        <v>0</v>
      </c>
      <c r="AA87" s="649">
        <v>0</v>
      </c>
      <c r="AB87" s="649">
        <v>0</v>
      </c>
      <c r="AC87" s="649">
        <f t="shared" si="38"/>
        <v>96391</v>
      </c>
      <c r="AD87" s="647"/>
      <c r="AE87" s="652"/>
      <c r="AF87" s="653"/>
      <c r="AG87" s="654"/>
      <c r="AH87" s="655"/>
      <c r="AI87" s="656"/>
      <c r="AJ87" s="657"/>
      <c r="AK87" s="658"/>
      <c r="AL87" s="658"/>
      <c r="AM87" s="658"/>
      <c r="AN87" s="657"/>
      <c r="AO87" s="658"/>
      <c r="AP87" s="658"/>
      <c r="AQ87" s="658"/>
      <c r="AR87" s="682"/>
      <c r="AS87" s="660">
        <f t="shared" si="39"/>
      </c>
      <c r="AT87" s="660">
        <f>IF(OR(OR(AND(C87="",D87&lt;&gt;""),AND(C87&lt;&gt;"",D87="")),AND(OR(SUM(Q87)&lt;&gt;0,SUM(R87)&lt;&gt;0,AND(U87&lt;&gt;"",U87&lt;&gt;0),AND(V87&lt;&gt;"",V87&lt;&gt;0),AND(W87&lt;&gt;"",W87&lt;&gt;0),AND(X87&lt;&gt;"",X87&lt;&gt;0),AND(Y87&lt;&gt;"",Y87&lt;&gt;0),AND(Z87&lt;&gt;"",Z87&lt;&gt;0),AND(AA87&lt;&gt;"",AA87&lt;&gt;0),AND(AB87&lt;&gt;"",AB87&lt;&gt;0),AND(AC87&lt;&gt;"",AC87&lt;&gt;0),AND(AD87&lt;&gt;"",AD87&lt;&gt;0),AE87&lt;&gt;"",AF87&lt;&gt;""),OR(C87="",D87=""))),"Error 2.11",IF(AND(C87&lt;&gt;"",ISNUMBER(D87)=FALSE),"Error 1.2",IF(AND(C87&lt;&gt;"",'Table 3a'!D88-INT('Table 3a'!D88)&lt;&gt;0),"Error 2.1",IF(AND(C87&lt;&gt;"",OR(D87&lt;2000,AND(D87&gt;3999,D87&lt;5200),AND(D87&gt;5299,D87&lt;5940),D87&gt;5949)),"Error 2.3",IF(AND(C87&lt;&gt;"",COUNTIF(startdfes:enddfes,D87)&gt;1),"Warning 1.2","")))))</f>
      </c>
      <c r="AU87" s="660">
        <f>IF(AND(OR(E87="",E87=0),C87="",D87=""),"",IF(AND(OR(C87&lt;&gt;"",D87&lt;&gt;""),E87=""),"Error 4.10.2",IF(AND(E87&lt;&gt;"",ISNUMBER(E87)=FALSE),"Error 1.2",IF(E87&lt;=0,"Error 1.4",IF('Table 3a'!AC88&lt;&gt;'Table 3a'!CA88,"Warning 2.7","")))))</f>
      </c>
      <c r="AV87" s="660">
        <f t="shared" si="40"/>
      </c>
      <c r="AW87" s="661"/>
      <c r="AX87" s="660">
        <f t="shared" si="41"/>
      </c>
      <c r="AY87" s="660">
        <f t="shared" si="42"/>
      </c>
      <c r="AZ87" s="660">
        <f t="shared" si="43"/>
      </c>
      <c r="BA87" s="660">
        <f t="shared" si="44"/>
      </c>
      <c r="BB87" s="660">
        <f t="shared" si="45"/>
      </c>
      <c r="BC87" s="660">
        <f t="shared" si="46"/>
      </c>
      <c r="BD87" s="660">
        <f t="shared" si="47"/>
      </c>
      <c r="BE87" s="660">
        <f t="shared" si="48"/>
      </c>
      <c r="BF87" s="660">
        <f t="shared" si="49"/>
      </c>
      <c r="BG87" s="660">
        <f>IF(AND(OR(Q87="",Q87=0),C87="",D87=""),"",IF(AND(OR(C87&lt;&gt;"",D87&lt;&gt;""),Q87=""),"Error 4.10.2",IF(AND(Q87&lt;&gt;"",ISNUMBER(Q87)=FALSE),"Error 1.2",IF(AND(OR(Q87&lt;10000,Q87&gt;10000000)),"Error 3.2.1",IF(ABS(('Table 3a'!BY88*2)-'Table 3a'!BZ88)&gt;50,"Error 3.7","")))))</f>
      </c>
      <c r="BH87" s="660">
        <f t="shared" si="50"/>
      </c>
      <c r="BI87" s="660">
        <f t="shared" si="51"/>
      </c>
      <c r="BJ87" s="660">
        <f t="shared" si="52"/>
      </c>
      <c r="BK87" s="660">
        <f t="shared" si="53"/>
      </c>
      <c r="BL87" s="660">
        <f t="shared" si="54"/>
      </c>
      <c r="BM87" s="663"/>
      <c r="BN87" s="660">
        <f t="shared" si="55"/>
      </c>
      <c r="BO87" s="660">
        <f t="shared" si="56"/>
      </c>
      <c r="BP87" s="660">
        <f t="shared" si="57"/>
      </c>
      <c r="BQ87" s="660">
        <f t="shared" si="58"/>
      </c>
      <c r="BR87" s="660">
        <f t="shared" si="59"/>
      </c>
      <c r="BS87" s="660">
        <f t="shared" si="60"/>
      </c>
      <c r="BT87" s="662"/>
      <c r="BU87" s="660">
        <f t="shared" si="61"/>
      </c>
      <c r="BV87" s="660">
        <f t="shared" si="62"/>
      </c>
      <c r="BW87" s="605">
        <f t="shared" si="63"/>
        <v>0</v>
      </c>
      <c r="BX87" s="660">
        <f t="shared" si="64"/>
      </c>
      <c r="BY87" s="664"/>
      <c r="BZ87" s="664"/>
      <c r="CA87" s="665"/>
      <c r="CB87" s="665"/>
      <c r="CC87" s="666"/>
      <c r="CD87" s="154"/>
      <c r="DG87" s="3"/>
    </row>
    <row r="88" spans="1:111" s="52" customFormat="1" ht="12.75">
      <c r="A88" s="681"/>
      <c r="B88" s="645">
        <f>IF('Table 3a'!B89="","",'Table 3a'!B89)</f>
        <v>26</v>
      </c>
      <c r="C88" s="644" t="str">
        <f>IF('Table 3a'!C89="","",'Table 3a'!C89)</f>
        <v>Hatchford Community Primary School</v>
      </c>
      <c r="D88" s="645">
        <f>IF('Table 3a'!D89="","",'Table 3a'!D89)</f>
        <v>5200</v>
      </c>
      <c r="E88" s="646">
        <f>IF('Table 3a'!AC89="","",'Table 3a'!AC89)</f>
        <v>1037567.2091666667</v>
      </c>
      <c r="F88" s="646">
        <f>IF('Table 3a'!AJ89="","",'Table 3a'!AJ89)</f>
        <v>91057.95</v>
      </c>
      <c r="G88" s="647"/>
      <c r="H88" s="646">
        <f>IF('Table 3a'!AO89="","",'Table 3a'!AO89)</f>
        <v>0</v>
      </c>
      <c r="I88" s="646">
        <f>IF('Table 3a'!AU89="","",'Table 3a'!AU89)</f>
        <v>96016</v>
      </c>
      <c r="J88" s="646">
        <f>IF('Table 3a'!AX89="","",'Table 3a'!AX89)</f>
        <v>3265</v>
      </c>
      <c r="K88" s="646">
        <f>IF('Table 3a'!BC89="","",'Table 3a'!BC89)</f>
        <v>61747.916666666664</v>
      </c>
      <c r="L88" s="646">
        <f>IF('Table 3a'!BI89="","",'Table 3a'!BI89)</f>
        <v>99527.66666666667</v>
      </c>
      <c r="M88" s="646">
        <f>IF('Table 3a'!BN89="","",'Table 3a'!BN89)</f>
        <v>102692</v>
      </c>
      <c r="N88" s="646">
        <f>IF('Table 3a'!BT89="","",'Table 3a'!BT89)</f>
        <v>81170</v>
      </c>
      <c r="O88" s="646">
        <f>IF('Table 3a'!BW89="","",'Table 3a'!BW89)</f>
        <v>0</v>
      </c>
      <c r="P88" s="646">
        <f>IF('Table 3a'!BX89="","",'Table 3a'!BX89)</f>
        <v>0</v>
      </c>
      <c r="Q88" s="646">
        <f t="shared" si="36"/>
        <v>1573043.7425000002</v>
      </c>
      <c r="R88" s="646">
        <f>IF('Table 3a'!AB89="","",'Table 3a'!AB89)</f>
        <v>479.66666666666663</v>
      </c>
      <c r="S88" s="646">
        <f t="shared" si="37"/>
        <v>3279.4518606671304</v>
      </c>
      <c r="T88" s="649" t="s">
        <v>642</v>
      </c>
      <c r="U88" s="649">
        <v>77769.5500430892</v>
      </c>
      <c r="V88" s="649">
        <v>21808</v>
      </c>
      <c r="W88" s="651"/>
      <c r="X88" s="649">
        <v>244597</v>
      </c>
      <c r="Y88" s="649">
        <v>0</v>
      </c>
      <c r="Z88" s="649">
        <v>0</v>
      </c>
      <c r="AA88" s="649">
        <v>0</v>
      </c>
      <c r="AB88" s="649">
        <v>0</v>
      </c>
      <c r="AC88" s="649">
        <f t="shared" si="38"/>
        <v>99281</v>
      </c>
      <c r="AD88" s="647"/>
      <c r="AE88" s="652"/>
      <c r="AF88" s="653"/>
      <c r="AG88" s="654"/>
      <c r="AH88" s="655"/>
      <c r="AI88" s="656"/>
      <c r="AJ88" s="657"/>
      <c r="AK88" s="658"/>
      <c r="AL88" s="658"/>
      <c r="AM88" s="658"/>
      <c r="AN88" s="657"/>
      <c r="AO88" s="658"/>
      <c r="AP88" s="658"/>
      <c r="AQ88" s="658"/>
      <c r="AR88" s="682"/>
      <c r="AS88" s="660">
        <f t="shared" si="39"/>
      </c>
      <c r="AT88" s="660">
        <f>IF(OR(OR(AND(C88="",D88&lt;&gt;""),AND(C88&lt;&gt;"",D88="")),AND(OR(SUM(Q88)&lt;&gt;0,SUM(R88)&lt;&gt;0,AND(U88&lt;&gt;"",U88&lt;&gt;0),AND(V88&lt;&gt;"",V88&lt;&gt;0),AND(W88&lt;&gt;"",W88&lt;&gt;0),AND(X88&lt;&gt;"",X88&lt;&gt;0),AND(Y88&lt;&gt;"",Y88&lt;&gt;0),AND(Z88&lt;&gt;"",Z88&lt;&gt;0),AND(AA88&lt;&gt;"",AA88&lt;&gt;0),AND(AB88&lt;&gt;"",AB88&lt;&gt;0),AND(AC88&lt;&gt;"",AC88&lt;&gt;0),AND(AD88&lt;&gt;"",AD88&lt;&gt;0),AE88&lt;&gt;"",AF88&lt;&gt;""),OR(C88="",D88=""))),"Error 2.11",IF(AND(C88&lt;&gt;"",ISNUMBER(D88)=FALSE),"Error 1.2",IF(AND(C88&lt;&gt;"",'Table 3a'!D89-INT('Table 3a'!D89)&lt;&gt;0),"Error 2.1",IF(AND(C88&lt;&gt;"",OR(D88&lt;2000,AND(D88&gt;3999,D88&lt;5200),AND(D88&gt;5299,D88&lt;5940),D88&gt;5949)),"Error 2.3",IF(AND(C88&lt;&gt;"",COUNTIF(startdfes:enddfes,D88)&gt;1),"Warning 1.2","")))))</f>
      </c>
      <c r="AU88" s="660">
        <f>IF(AND(OR(E88="",E88=0),C88="",D88=""),"",IF(AND(OR(C88&lt;&gt;"",D88&lt;&gt;""),E88=""),"Error 4.10.2",IF(AND(E88&lt;&gt;"",ISNUMBER(E88)=FALSE),"Error 1.2",IF(E88&lt;=0,"Error 1.4",IF('Table 3a'!AC89&lt;&gt;'Table 3a'!CA89,"Warning 2.7","")))))</f>
      </c>
      <c r="AV88" s="660">
        <f t="shared" si="40"/>
      </c>
      <c r="AW88" s="661"/>
      <c r="AX88" s="660">
        <f t="shared" si="41"/>
      </c>
      <c r="AY88" s="660">
        <f t="shared" si="42"/>
      </c>
      <c r="AZ88" s="660">
        <f t="shared" si="43"/>
      </c>
      <c r="BA88" s="660">
        <f t="shared" si="44"/>
      </c>
      <c r="BB88" s="660">
        <f t="shared" si="45"/>
      </c>
      <c r="BC88" s="660">
        <f t="shared" si="46"/>
      </c>
      <c r="BD88" s="660">
        <f t="shared" si="47"/>
      </c>
      <c r="BE88" s="660">
        <f t="shared" si="48"/>
      </c>
      <c r="BF88" s="660">
        <f t="shared" si="49"/>
      </c>
      <c r="BG88" s="660">
        <f>IF(AND(OR(Q88="",Q88=0),C88="",D88=""),"",IF(AND(OR(C88&lt;&gt;"",D88&lt;&gt;""),Q88=""),"Error 4.10.2",IF(AND(Q88&lt;&gt;"",ISNUMBER(Q88)=FALSE),"Error 1.2",IF(AND(OR(Q88&lt;10000,Q88&gt;10000000)),"Error 3.2.1",IF(ABS(('Table 3a'!BY89*2)-'Table 3a'!BZ89)&gt;50,"Error 3.7","")))))</f>
      </c>
      <c r="BH88" s="660">
        <f t="shared" si="50"/>
      </c>
      <c r="BI88" s="660">
        <f t="shared" si="51"/>
      </c>
      <c r="BJ88" s="660">
        <f t="shared" si="52"/>
      </c>
      <c r="BK88" s="660">
        <f t="shared" si="53"/>
      </c>
      <c r="BL88" s="660">
        <f t="shared" si="54"/>
      </c>
      <c r="BM88" s="663"/>
      <c r="BN88" s="660">
        <f t="shared" si="55"/>
      </c>
      <c r="BO88" s="660">
        <f t="shared" si="56"/>
      </c>
      <c r="BP88" s="660">
        <f t="shared" si="57"/>
      </c>
      <c r="BQ88" s="660">
        <f t="shared" si="58"/>
      </c>
      <c r="BR88" s="660">
        <f t="shared" si="59"/>
      </c>
      <c r="BS88" s="660">
        <f t="shared" si="60"/>
      </c>
      <c r="BT88" s="662"/>
      <c r="BU88" s="660">
        <f t="shared" si="61"/>
      </c>
      <c r="BV88" s="660">
        <f t="shared" si="62"/>
      </c>
      <c r="BW88" s="605">
        <f t="shared" si="63"/>
        <v>0</v>
      </c>
      <c r="BX88" s="660">
        <f t="shared" si="64"/>
      </c>
      <c r="BY88" s="664"/>
      <c r="BZ88" s="664"/>
      <c r="CA88" s="665"/>
      <c r="CB88" s="665"/>
      <c r="CC88" s="666"/>
      <c r="CD88" s="154"/>
      <c r="DG88" s="3"/>
    </row>
    <row r="89" spans="1:111" s="52" customFormat="1" ht="12.75">
      <c r="A89" s="681"/>
      <c r="B89" s="645">
        <f>IF('Table 3a'!B90="","",'Table 3a'!B90)</f>
      </c>
      <c r="C89" s="644">
        <f>IF('Table 3a'!C90="","",'Table 3a'!C90)</f>
      </c>
      <c r="D89" s="645">
        <f>IF('Table 3a'!D90="","",'Table 3a'!D90)</f>
      </c>
      <c r="E89" s="646">
        <f>IF('Table 3a'!AC90="","",'Table 3a'!AC90)</f>
        <v>0</v>
      </c>
      <c r="F89" s="646">
        <f>IF('Table 3a'!AJ90="","",'Table 3a'!AJ90)</f>
        <v>0</v>
      </c>
      <c r="G89" s="647"/>
      <c r="H89" s="646">
        <f>IF('Table 3a'!AO90="","",'Table 3a'!AO90)</f>
        <v>0</v>
      </c>
      <c r="I89" s="646">
        <f>IF('Table 3a'!AU90="","",'Table 3a'!AU90)</f>
        <v>0</v>
      </c>
      <c r="J89" s="646">
        <f>IF('Table 3a'!AX90="","",'Table 3a'!AX90)</f>
        <v>0</v>
      </c>
      <c r="K89" s="646">
        <f>IF('Table 3a'!BC90="","",'Table 3a'!BC90)</f>
        <v>0</v>
      </c>
      <c r="L89" s="646">
        <f>IF('Table 3a'!BI90="","",'Table 3a'!BI90)</f>
        <v>0</v>
      </c>
      <c r="M89" s="646">
        <f>IF('Table 3a'!BN90="","",'Table 3a'!BN90)</f>
        <v>0</v>
      </c>
      <c r="N89" s="646">
        <f>IF('Table 3a'!BT90="","",'Table 3a'!BT90)</f>
        <v>0</v>
      </c>
      <c r="O89" s="646">
        <f>IF('Table 3a'!BW90="","",'Table 3a'!BW90)</f>
        <v>0</v>
      </c>
      <c r="P89" s="646">
        <f>IF('Table 3a'!BX90="","",'Table 3a'!BX90)</f>
        <v>0</v>
      </c>
      <c r="Q89" s="646">
        <f>SUM(E89,F89,G89,H89,I89,J89,K89,L89,M89,N89,O89,P89)</f>
        <v>0</v>
      </c>
      <c r="R89" s="646">
        <f>IF('Table 3a'!AB90="","",'Table 3a'!AB90)</f>
        <v>0</v>
      </c>
      <c r="S89" s="646">
        <f>IF(R89=0,0,IF(ISERROR(Q89/R89),0,Q89/R89))</f>
        <v>0</v>
      </c>
      <c r="T89" s="649" t="s">
        <v>642</v>
      </c>
      <c r="U89" s="649">
        <v>0</v>
      </c>
      <c r="V89" s="649">
        <v>0</v>
      </c>
      <c r="W89" s="651"/>
      <c r="X89" s="649">
        <v>0</v>
      </c>
      <c r="Y89" s="649">
        <v>0</v>
      </c>
      <c r="Z89" s="649">
        <v>0</v>
      </c>
      <c r="AA89" s="649">
        <v>0</v>
      </c>
      <c r="AB89" s="649">
        <v>0</v>
      </c>
      <c r="AC89" s="649"/>
      <c r="AD89" s="647"/>
      <c r="AE89" s="652"/>
      <c r="AF89" s="653"/>
      <c r="AG89" s="654"/>
      <c r="AH89" s="655"/>
      <c r="AI89" s="656"/>
      <c r="AJ89" s="657"/>
      <c r="AK89" s="658"/>
      <c r="AL89" s="658"/>
      <c r="AM89" s="658"/>
      <c r="AN89" s="657"/>
      <c r="AO89" s="658"/>
      <c r="AP89" s="658"/>
      <c r="AQ89" s="658"/>
      <c r="AR89" s="682"/>
      <c r="AS89" s="660">
        <f t="shared" si="39"/>
      </c>
      <c r="AT89" s="660">
        <f>IF(OR(OR(AND(C89="",D89&lt;&gt;""),AND(C89&lt;&gt;"",D89="")),AND(OR(SUM(Q89)&lt;&gt;0,SUM(R89)&lt;&gt;0,AND(U89&lt;&gt;"",U89&lt;&gt;0),AND(V89&lt;&gt;"",V89&lt;&gt;0),AND(W89&lt;&gt;"",W89&lt;&gt;0),AND(X89&lt;&gt;"",X89&lt;&gt;0),AND(Y89&lt;&gt;"",Y89&lt;&gt;0),AND(Z89&lt;&gt;"",Z89&lt;&gt;0),AND(AA89&lt;&gt;"",AA89&lt;&gt;0),AND(AB89&lt;&gt;"",AB89&lt;&gt;0),AND(AC89&lt;&gt;"",AC89&lt;&gt;0),AND(AD89&lt;&gt;"",AD89&lt;&gt;0),AE89&lt;&gt;"",AF89&lt;&gt;""),OR(C89="",D89=""))),"Error 2.11",IF(AND(C89&lt;&gt;"",ISNUMBER(D89)=FALSE),"Error 1.2",IF(AND(C89&lt;&gt;"",'Table 3a'!D90-INT('Table 3a'!D90)&lt;&gt;0),"Error 2.1",IF(AND(C89&lt;&gt;"",OR(D89&lt;2000,AND(D89&gt;3999,D89&lt;5200),AND(D89&gt;5299,D89&lt;5940),D89&gt;5949)),"Error 2.3",IF(AND(C89&lt;&gt;"",COUNTIF(startdfes:enddfes,D89)&gt;1),"Warning 1.2","")))))</f>
      </c>
      <c r="AU89" s="660">
        <f>IF(AND(OR(E89="",E89=0),C89="",D89=""),"",IF(AND(OR(C89&lt;&gt;"",D89&lt;&gt;""),E89=""),"Error 4.10.2",IF(AND(E89&lt;&gt;"",ISNUMBER(E89)=FALSE),"Error 1.2",IF(E89&lt;=0,"Error 1.4",IF('Table 3a'!AC90&lt;&gt;'Table 3a'!CA90,"Warning 2.7","")))))</f>
      </c>
      <c r="AV89" s="660">
        <f t="shared" si="40"/>
      </c>
      <c r="AW89" s="661"/>
      <c r="AX89" s="660">
        <f t="shared" si="41"/>
      </c>
      <c r="AY89" s="660">
        <f t="shared" si="42"/>
      </c>
      <c r="AZ89" s="660">
        <f t="shared" si="43"/>
      </c>
      <c r="BA89" s="660">
        <f t="shared" si="44"/>
      </c>
      <c r="BB89" s="660">
        <f t="shared" si="45"/>
      </c>
      <c r="BC89" s="660">
        <f t="shared" si="46"/>
      </c>
      <c r="BD89" s="660">
        <f t="shared" si="47"/>
      </c>
      <c r="BE89" s="660">
        <f t="shared" si="48"/>
      </c>
      <c r="BF89" s="660">
        <f t="shared" si="49"/>
      </c>
      <c r="BG89" s="660">
        <f>IF(AND(OR(Q89="",Q89=0),C89="",D89=""),"",IF(AND(OR(C89&lt;&gt;"",D89&lt;&gt;""),Q89=""),"Error 4.10.2",IF(AND(Q89&lt;&gt;"",ISNUMBER(Q89)=FALSE),"Error 1.2",IF(AND(OR(Q89&lt;10000,Q89&gt;10000000)),"Error 3.2.1",IF(ABS(('Table 3a'!BY90*2)-'Table 3a'!BZ90)&gt;50,"Error 3.7","")))))</f>
      </c>
      <c r="BH89" s="660">
        <f t="shared" si="50"/>
      </c>
      <c r="BI89" s="660">
        <f t="shared" si="51"/>
      </c>
      <c r="BJ89" s="660">
        <f t="shared" si="52"/>
      </c>
      <c r="BK89" s="660">
        <f t="shared" si="53"/>
      </c>
      <c r="BL89" s="660">
        <f t="shared" si="54"/>
      </c>
      <c r="BM89" s="663"/>
      <c r="BN89" s="660">
        <f t="shared" si="55"/>
      </c>
      <c r="BO89" s="660">
        <f t="shared" si="56"/>
      </c>
      <c r="BP89" s="660">
        <f t="shared" si="57"/>
      </c>
      <c r="BQ89" s="660">
        <f t="shared" si="58"/>
      </c>
      <c r="BR89" s="660">
        <f t="shared" si="59"/>
      </c>
      <c r="BS89" s="660">
        <f t="shared" si="60"/>
      </c>
      <c r="BT89" s="662"/>
      <c r="BU89" s="660">
        <f t="shared" si="61"/>
      </c>
      <c r="BV89" s="660">
        <f t="shared" si="62"/>
      </c>
      <c r="BW89" s="605">
        <f>IF(LEN(TRIM(AS89&amp;AT89&amp;AU89&amp;AV89&amp;AX89&amp;AY89&amp;AZ89&amp;BA89&amp;BB89&amp;BC89&amp;BD89&amp;BE89&amp;BF89&amp;BG89&amp;BH89&amp;BI89&amp;BJ89&amp;BK89&amp;BL89&amp;BM89&amp;BN89&amp;BO89&amp;BP89&amp;BQ89&amp;BR89&amp;BS89&amp;BU89&amp;BV89))&gt;0,1,0)</f>
        <v>0</v>
      </c>
      <c r="BX89" s="660">
        <f t="shared" si="64"/>
      </c>
      <c r="BY89" s="664"/>
      <c r="BZ89" s="664"/>
      <c r="CA89" s="665"/>
      <c r="CB89" s="665"/>
      <c r="CC89" s="666"/>
      <c r="CD89" s="154"/>
      <c r="DG89" s="3"/>
    </row>
    <row r="90" spans="1:121" ht="12.75">
      <c r="A90" s="681"/>
      <c r="B90" s="645">
        <f>IF('Table 3a'!B91="","",'Table 3a'!B91)</f>
      </c>
      <c r="C90" s="644">
        <f>IF('Table 3a'!C91="","",'Table 3a'!C91)</f>
      </c>
      <c r="D90" s="645">
        <f>IF('Table 3a'!D91="","",'Table 3a'!D91)</f>
      </c>
      <c r="E90" s="646">
        <f>IF('Table 3a'!AC91="","",'Table 3a'!AC91)</f>
        <v>0</v>
      </c>
      <c r="F90" s="646">
        <f>IF('Table 3a'!AJ91="","",'Table 3a'!AJ91)</f>
        <v>0</v>
      </c>
      <c r="G90" s="647"/>
      <c r="H90" s="646">
        <f>IF('Table 3a'!AO91="","",'Table 3a'!AO91)</f>
        <v>0</v>
      </c>
      <c r="I90" s="646">
        <f>IF('Table 3a'!AU91="","",'Table 3a'!AU91)</f>
        <v>0</v>
      </c>
      <c r="J90" s="646">
        <f>IF('Table 3a'!AX91="","",'Table 3a'!AX91)</f>
        <v>0</v>
      </c>
      <c r="K90" s="646">
        <f>IF('Table 3a'!BC91="","",'Table 3a'!BC91)</f>
        <v>0</v>
      </c>
      <c r="L90" s="646">
        <f>IF('Table 3a'!BI91="","",'Table 3a'!BI91)</f>
        <v>0</v>
      </c>
      <c r="M90" s="646">
        <f>IF('Table 3a'!BN91="","",'Table 3a'!BN91)</f>
        <v>0</v>
      </c>
      <c r="N90" s="646">
        <f>IF('Table 3a'!BT91="","",'Table 3a'!BT91)</f>
        <v>0</v>
      </c>
      <c r="O90" s="646">
        <f>IF('Table 3a'!BW91="","",'Table 3a'!BW91)</f>
        <v>0</v>
      </c>
      <c r="P90" s="646">
        <f>IF('Table 3a'!BX91="","",'Table 3a'!BX91)</f>
        <v>0</v>
      </c>
      <c r="Q90" s="646">
        <f>SUM(E90,F90,G90,H90,I90,J90,K90,L90,M90,N90,O90,P90)</f>
        <v>0</v>
      </c>
      <c r="R90" s="646">
        <f>IF('Table 3a'!AB91="","",'Table 3a'!AB91)</f>
        <v>0</v>
      </c>
      <c r="S90" s="646">
        <f>IF(R90=0,0,IF(ISERROR(Q90/R90),0,Q90/R90))</f>
        <v>0</v>
      </c>
      <c r="T90" s="649" t="s">
        <v>642</v>
      </c>
      <c r="U90" s="649">
        <v>0</v>
      </c>
      <c r="V90" s="649">
        <v>0</v>
      </c>
      <c r="W90" s="651"/>
      <c r="X90" s="649">
        <v>0</v>
      </c>
      <c r="Y90" s="649">
        <v>0</v>
      </c>
      <c r="Z90" s="649">
        <v>0</v>
      </c>
      <c r="AA90" s="649">
        <v>0</v>
      </c>
      <c r="AB90" s="649">
        <v>0</v>
      </c>
      <c r="AC90" s="649"/>
      <c r="AD90" s="647"/>
      <c r="AE90" s="652"/>
      <c r="AF90" s="653"/>
      <c r="AG90" s="654"/>
      <c r="AH90" s="655"/>
      <c r="AI90" s="656"/>
      <c r="AJ90" s="657"/>
      <c r="AK90" s="658"/>
      <c r="AL90" s="658"/>
      <c r="AM90" s="658"/>
      <c r="AN90" s="657"/>
      <c r="AO90" s="658"/>
      <c r="AP90" s="658"/>
      <c r="AQ90" s="658"/>
      <c r="AR90" s="682"/>
      <c r="AS90" s="660">
        <f>IF(OR(OR(AND(C90="",D90&lt;&gt;""),AND(C90&lt;&gt;"",D90="")),AND(OR(SUM(Q90)&lt;&gt;0,SUM(R90)&lt;&gt;0,AND(U90&lt;&gt;"",U90&lt;&gt;0),AND(V90&lt;&gt;"",V90&lt;&gt;0),AND(W90&lt;&gt;"",W90&lt;&gt;0),AND(X90&lt;&gt;"",X90&lt;&gt;0),AND(Y90&lt;&gt;"",Y90&lt;&gt;0),AND(Z90&lt;&gt;"",Z90&lt;&gt;0),AND(AA90&lt;&gt;"",AA90&lt;&gt;0),AND(AB90&lt;&gt;"",AB90&lt;&gt;0),AND(AC90&lt;&gt;"",AC90&lt;&gt;0),AND(AD90&lt;&gt;"",AD90&lt;&gt;0),AE90&lt;&gt;"",AF90&lt;&gt;""),OR(C90="",D90=""))),"Error 2.11",IF(LEFT(C90,11)="Situated at","Error 2.12",""))</f>
      </c>
      <c r="AT90" s="660">
        <f>IF(OR(OR(AND(C90="",D90&lt;&gt;""),AND(C90&lt;&gt;"",D90="")),AND(OR(SUM(Q90)&lt;&gt;0,SUM(R90)&lt;&gt;0,AND(U90&lt;&gt;"",U90&lt;&gt;0),AND(V90&lt;&gt;"",V90&lt;&gt;0),AND(W90&lt;&gt;"",W90&lt;&gt;0),AND(X90&lt;&gt;"",X90&lt;&gt;0),AND(Y90&lt;&gt;"",Y90&lt;&gt;0),AND(Z90&lt;&gt;"",Z90&lt;&gt;0),AND(AA90&lt;&gt;"",AA90&lt;&gt;0),AND(AB90&lt;&gt;"",AB90&lt;&gt;0),AND(AC90&lt;&gt;"",AC90&lt;&gt;0),AND(AD90&lt;&gt;"",AD90&lt;&gt;0),AE90&lt;&gt;"",AF90&lt;&gt;""),OR(C90="",D90=""))),"Error 2.11",IF(AND(C90&lt;&gt;"",ISNUMBER(D90)=FALSE),"Error 1.2",IF(AND(C90&lt;&gt;"",'Table 3a'!D91-INT('Table 3a'!D91)&lt;&gt;0),"Error 2.1",IF(AND(C90&lt;&gt;"",OR(D90&lt;2000,AND(D90&gt;3999,D90&lt;5200),AND(D90&gt;5299,D90&lt;5940),D90&gt;5949)),"Error 2.3",IF(AND(C90&lt;&gt;"",COUNTIF(startdfes:enddfes,D90)&gt;1),"Warning 1.2","")))))</f>
      </c>
      <c r="AU90" s="660">
        <f>IF(AND(OR(E90="",E90=0),C90="",D90=""),"",IF(AND(OR(C90&lt;&gt;"",D90&lt;&gt;""),E90=""),"Error 4.10.2",IF(AND(E90&lt;&gt;"",ISNUMBER(E90)=FALSE),"Error 1.2",IF(E90&lt;=0,"Error 1.4",IF('Table 3a'!AC91&lt;&gt;'Table 3a'!CA91,"Warning 2.7","")))))</f>
      </c>
      <c r="AV90" s="660">
        <f>IF(AND(OR(F90="",F90=0),C90="",D90=""),"",IF(AND(OR(C90&lt;&gt;"",D90&lt;&gt;""),F90=""),"Error 4.10.2",IF(AND(F90&lt;&gt;"",ISNUMBER(F90)=FALSE),"Error 1.2",IF(F90&lt;0,"Error 1.3",""))))</f>
      </c>
      <c r="AW90" s="661"/>
      <c r="AX90" s="660">
        <f>IF(AND(OR(H90="",H90=0),C90="",D90=""),"",IF(AND(OR(C90&lt;&gt;"",D90&lt;&gt;""),H90=""),"Error 4.10.2",IF(AND(H90&lt;&gt;"",ISNUMBER(H90)=FALSE),"Error 1.2",IF(H90&lt;0,"Error 1.3",""))))</f>
      </c>
      <c r="AY90" s="660">
        <f>IF(AND(OR(I90="",I90=0),C90="",D90=""),"",IF(AND(OR(C90&lt;&gt;"",D90&lt;&gt;""),I90=""),"Error 4.10.2",IF(AND(I90&lt;&gt;"",ISNUMBER(I90)=FALSE),"Error 1.2",IF(I90=0,"Warning 2.4",IF(I90&lt;0,"Error 1.3","")))))</f>
      </c>
      <c r="AZ90" s="660">
        <f>IF(AND(OR(J90="",J90=0),C90="",D90=""),"",IF(AND(OR(C90&lt;&gt;"",D90&lt;&gt;""),J90=""),"Error 4.10.2",IF(AND(J90&lt;&gt;"",ISNUMBER(J90)=FALSE),"Error 1.2",IF(J90&lt;0,"Error 1.3",""))))</f>
      </c>
      <c r="BA90" s="660">
        <f>IF(AND(OR(K90="",K90=0),C90="",D90=""),"",IF(AND(OR(C90&lt;&gt;"",D90&lt;&gt;""),K90=""),"Error 4.10.2",IF(AND(K90&lt;&gt;"",ISNUMBER(K90)=FALSE),"Error 1.2",IF(K90&lt;0,"Error 1.3",""))))</f>
      </c>
      <c r="BB90" s="660">
        <f>IF(AND(OR(L90="",L90=0),C90="",D90=""),"",IF(AND(OR(C90&lt;&gt;"",D90&lt;&gt;""),L90=""),"Error 4.10.2",IF(AND(L90&lt;&gt;"",ISNUMBER(L90)=FALSE),"Error 1.2",IF(L90&lt;0,"Error 1.3",""))))</f>
      </c>
      <c r="BC90" s="660">
        <f>IF(AND(OR(M90="",M90=0),C90="",D90=""),"",IF(AND(OR(C90&lt;&gt;"",D90&lt;&gt;""),M90=""),"Error 4.10.2",IF(AND(M90&lt;&gt;"",ISNUMBER(M90)=FALSE),"Error 1.2",IF(M90&lt;0,"Error 1.3",""))))</f>
      </c>
      <c r="BD90" s="660">
        <f>IF(AND(OR(N90="",N90=0),C90="",D90=""),"",IF(AND(OR(C90&lt;&gt;"",D90&lt;&gt;""),N90=""),"Error 4.10.2",IF(AND(N90&lt;&gt;"",ISNUMBER(N90)=FALSE),"Error 1.2",IF(N90&lt;0,"Error 1.3",""))))</f>
      </c>
      <c r="BE90" s="660">
        <f>IF(AND(OR(O90="",O90=0),C90="",D90=""),"",IF(AND(OR(C90&lt;&gt;"",D90&lt;&gt;""),O90=""),"Error 4.10.2",IF(AND(O90&lt;&gt;"",ISNUMBER(O90)=FALSE),"Error 1.2","")))</f>
      </c>
      <c r="BF90" s="660">
        <f>IF(AND(OR(P90="",P90=0),C90="",D90=""),"",IF(AND(OR(C90&lt;&gt;"",D90&lt;&gt;""),P90=""),"Error 4.10.2",IF(AND(P90&lt;&gt;"",ISNUMBER(P90)=FALSE),"Error 1.2",IF(P90&lt;0,"Error 1.3",""))))</f>
      </c>
      <c r="BG90" s="660">
        <f>IF(AND(OR(Q90="",Q90=0),C90="",D90=""),"",IF(AND(OR(C90&lt;&gt;"",D90&lt;&gt;""),Q90=""),"Error 4.10.2",IF(AND(Q90&lt;&gt;"",ISNUMBER(Q90)=FALSE),"Error 1.2",IF(AND(OR(Q90&lt;10000,Q90&gt;10000000)),"Error 3.2.1",IF(ABS(('Table 3a'!BY91*2)-'Table 3a'!BZ91)&gt;50,"Error 3.7","")))))</f>
      </c>
      <c r="BH90" s="660">
        <f>IF(AND(OR(R90="",R90=0),C90="",D90=""),"",IF(AND(OR(C90&lt;&gt;"",D90&lt;&gt;""),R90=""),"Error 4.10.2",IF(AND(R90&lt;&gt;"",ISNUMBER(R90)=FALSE),"Error 1.2",IF(OR(R90&lt;1,R90&gt;2999),"Error 2.6",""))))</f>
      </c>
      <c r="BI90" s="660">
        <f>IF(AND(OR(S90="",S90=0),C90="",D90=""),"",IF(AND(OR(C90&lt;&gt;"",D90&lt;&gt;""),S90=""),"Error 4.10.2",IF(AND(S90&lt;&gt;"",ISNUMBER(S90)=FALSE),"Error 1.2",IF(S90&lt;=0,"Error 1.4",""))))</f>
      </c>
      <c r="BJ90" s="660">
        <f t="shared" si="52"/>
      </c>
      <c r="BK90" s="660">
        <f>IF(AND(U90="",C90="",D90=""),"",IF(AND(U90="",$H$1&lt;&gt;"*"),"",IF(AND(OR(C90&lt;&gt;"",D90&lt;&gt;""),AND(U90="",$H$1="*")),"Error 1.1",IF(AND(U90&lt;&gt;"",ISNUMBER(U90)=FALSE),"Error 1.2",IF(U90&lt;0,"Error 1.3",IF(U90&gt;=500000,"Error 3.4.1",""))))))</f>
      </c>
      <c r="BL90" s="660">
        <f>IF(AND(V90="",C90="",D90=""),"",IF(AND(V90="",$H$1&lt;&gt;"*"),"",IF(AND(OR(C90&lt;&gt;"",D90&lt;&gt;""),AND(V90="",$H$1="*")),"Error 1.1",IF(AND(V90&lt;&gt;"",ISNUMBER(V90)=FALSE),"Error 1.2",IF(V90&lt;0,"Error 1.3",IF(V90&gt;=500000,"Error 3.4.2",""))))))</f>
      </c>
      <c r="BM90" s="663"/>
      <c r="BN90" s="660">
        <f>IF(AND(X90="",C90="",D90=""),"",IF(AND(X90="",$H$1&lt;&gt;"*"),"",IF(AND(OR(C90&lt;&gt;"",D90&lt;&gt;""),AND(X90="",$H$1="*")),"Error 1.1",IF(AND(X90&lt;&gt;"",ISNUMBER(X90)=FALSE),"Error 1.2",IF(X90&lt;0,"Error 1.3",IF(X90&gt;=1000000,"Error 3.4.3",""))))))</f>
      </c>
      <c r="BO90" s="660">
        <f>IF(AND(Y90="",C90="",D90=""),"",IF(AND(Y90="",$H$1&lt;&gt;"*"),"",IF(AND(OR(C90&lt;&gt;"",D90&lt;&gt;""),AND(Y90="",$H$1="*")),"Error 1.1",IF(AND(Y90&lt;&gt;"",ISNUMBER(Y90)=FALSE),"Error 1.2",IF(Y90&lt;0,"Error 1.3",IF(Y90&gt;=1000000,"Error 3.4.3",""))))))</f>
      </c>
      <c r="BP90" s="660">
        <f>IF(AND(Z90="",C90="",D90=""),"",IF(AND(Z90="",$H$1&lt;&gt;"*"),"",IF(AND(OR(C90&lt;&gt;"",D90&lt;&gt;""),AND(Z90="",$H$1="*")),"Error 1.1",IF(AND(Z90&lt;&gt;"",ISNUMBER(Z90)=FALSE),"Error 1.2",IF(Z90&lt;0,"Error 1.3",IF(Z90&gt;=500000,"Error 3.4.4",""))))))</f>
      </c>
      <c r="BQ90" s="660">
        <f>IF(AND(AA90="",C90="",D90=""),"",IF(AND(AA90="",$H$1&lt;&gt;"*"),"",IF(AND(OR(C90&lt;&gt;"",D90&lt;&gt;""),AND(AA90="",$H$1="*")),"Error 1.1",IF(AND(AA90&lt;&gt;"",ISNUMBER(AA90)=FALSE),"Error 1.2",IF(AA90&lt;0,"Error 1.3",IF(AA90&gt;=500000,"Error 3.4.5",""))))))</f>
      </c>
      <c r="BR90" s="660">
        <f>IF(AND(AB90="",C90="",D90=""),"",IF(AND(AB90="",$H$1&lt;&gt;"*"),"",IF(AND(OR(C90&lt;&gt;"",D90&lt;&gt;""),AND(AB90="",$H$1="*")),"Error 1.1",IF(AND(AB90&lt;&gt;"",ISNUMBER(AB90)=FALSE),"Error 1.2",IF(AB90&lt;0,"Error 1.3",IF(AB90&gt;=500000,"Error 3.4.6",""))))))</f>
      </c>
      <c r="BS90" s="660">
        <f>IF(AND(AC90="",C90="",D90=""),"",IF(AND(AC90="",$H$1&lt;&gt;"*"),"",IF(AND(OR(C90&lt;&gt;"",D90&lt;&gt;""),AND(AC90="",$H$1="*")),"Error 1.1",IF(AND(AC90&lt;&gt;"",ISNUMBER(AC90)=FALSE),"Error 1.2",IF(AC90&lt;=0,"Error 1.4",IF(BX90&lt;&gt;"",BX90,""))))))</f>
      </c>
      <c r="BT90" s="662"/>
      <c r="BU90" s="660">
        <f>IF(AND(AE90&lt;&gt;"",UPPER(AE90)&lt;&gt;"C",UPPER(AE90)&lt;&gt;"O"),"Error 2.8","")</f>
      </c>
      <c r="BV90" s="660">
        <f>IF(AND(AE90="",AF90=""),"",IF(AND(AE90&lt;&gt;"",AF90=""),"Error 2.9.1",IF(AND(AE90="",AF90&lt;&gt;""),"Error 2.9.1",IF(ISNUMBER(AF90)&lt;&gt;TRUE,"Error 2.9.1",IF(AND(AE90&lt;&gt;"",R90&gt;0,(OR(AF90&lt;DATE(2010,4,1),AF90&gt;DATE(2011,3,31)))),"Error 2.10.2","")))))</f>
      </c>
      <c r="BW90" s="605">
        <f>IF(LEN(TRIM(AS90&amp;AT90&amp;AU90&amp;AV90&amp;AX90&amp;AY90&amp;AZ90&amp;BA90&amp;BB90&amp;BC90&amp;BD90&amp;BE90&amp;BF90&amp;BG90&amp;BH90&amp;BI90&amp;BJ90&amp;BK90&amp;BL90&amp;BM90&amp;BN90&amp;BO90&amp;BP90&amp;BQ90&amp;BR90&amp;BS90&amp;BU90&amp;BV90))&gt;0,1,0)</f>
        <v>0</v>
      </c>
      <c r="BX90" s="660">
        <f>IF(AND(AC90&lt;&gt;"",AC90&gt;=Q90),"Error 3.3.1",IF(AND(AC90&lt;&gt;"",AC90&lt;SUM(I90,J90)),"Error 3.3.2",""))</f>
      </c>
      <c r="BY90" s="664"/>
      <c r="BZ90" s="664"/>
      <c r="CA90" s="665"/>
      <c r="CB90" s="665"/>
      <c r="CC90" s="666"/>
      <c r="CE90" s="52"/>
      <c r="CF90" s="52"/>
      <c r="CG90" s="52"/>
      <c r="CH90" s="52"/>
      <c r="CI90" s="52"/>
      <c r="CJ90" s="52"/>
      <c r="CK90" s="52"/>
      <c r="CL90" s="52"/>
      <c r="CM90" s="52"/>
      <c r="CN90" s="52"/>
      <c r="CO90" s="52"/>
      <c r="CP90" s="52"/>
      <c r="CQ90" s="52"/>
      <c r="CR90" s="52"/>
      <c r="CS90" s="52"/>
      <c r="CT90" s="52"/>
      <c r="CU90" s="52"/>
      <c r="CV90" s="52"/>
      <c r="CW90" s="52"/>
      <c r="CX90" s="52"/>
      <c r="CY90" s="52"/>
      <c r="CZ90" s="52"/>
      <c r="DA90" s="52"/>
      <c r="DB90" s="52"/>
      <c r="DC90" s="52"/>
      <c r="DD90" s="52"/>
      <c r="DE90" s="52"/>
      <c r="DF90" s="52"/>
      <c r="DH90" s="52"/>
      <c r="DI90" s="52"/>
      <c r="DJ90" s="52"/>
      <c r="DK90" s="52"/>
      <c r="DL90" s="52"/>
      <c r="DM90" s="52"/>
      <c r="DN90" s="52"/>
      <c r="DO90" s="52"/>
      <c r="DP90" s="52"/>
      <c r="DQ90" s="52"/>
    </row>
    <row r="91" spans="1:121" ht="12.75">
      <c r="A91" s="681"/>
      <c r="B91" s="645">
        <f>IF('Table 3a'!B92="","",'Table 3a'!B92)</f>
      </c>
      <c r="C91" s="644">
        <f>IF('Table 3a'!C92="","",'Table 3a'!C92)</f>
      </c>
      <c r="D91" s="645">
        <f>IF('Table 3a'!D92="","",'Table 3a'!D92)</f>
      </c>
      <c r="E91" s="646">
        <f>IF('Table 3a'!AC92="","",'Table 3a'!AC92)</f>
        <v>0</v>
      </c>
      <c r="F91" s="646">
        <f>IF('Table 3a'!AJ92="","",'Table 3a'!AJ92)</f>
        <v>0</v>
      </c>
      <c r="G91" s="647"/>
      <c r="H91" s="646">
        <f>IF('Table 3a'!AO92="","",'Table 3a'!AO92)</f>
        <v>0</v>
      </c>
      <c r="I91" s="646">
        <f>IF('Table 3a'!AU92="","",'Table 3a'!AU92)</f>
        <v>0</v>
      </c>
      <c r="J91" s="646">
        <f>IF('Table 3a'!AX92="","",'Table 3a'!AX92)</f>
        <v>0</v>
      </c>
      <c r="K91" s="646">
        <f>IF('Table 3a'!BC92="","",'Table 3a'!BC92)</f>
        <v>0</v>
      </c>
      <c r="L91" s="646">
        <f>IF('Table 3a'!BI92="","",'Table 3a'!BI92)</f>
        <v>0</v>
      </c>
      <c r="M91" s="646">
        <f>IF('Table 3a'!BN92="","",'Table 3a'!BN92)</f>
        <v>0</v>
      </c>
      <c r="N91" s="646">
        <f>IF('Table 3a'!BT92="","",'Table 3a'!BT92)</f>
        <v>0</v>
      </c>
      <c r="O91" s="646">
        <f>IF('Table 3a'!BW92="","",'Table 3a'!BW92)</f>
        <v>0</v>
      </c>
      <c r="P91" s="646">
        <f>IF('Table 3a'!BX92="","",'Table 3a'!BX92)</f>
        <v>0</v>
      </c>
      <c r="Q91" s="646">
        <f>SUM(E91,F91,G91,H91,I91,J91,K91,L91,M91,N91,O91,P91)</f>
        <v>0</v>
      </c>
      <c r="R91" s="646">
        <f>IF('Table 3a'!AB92="","",'Table 3a'!AB92)</f>
        <v>0</v>
      </c>
      <c r="S91" s="646">
        <f>IF(R91=0,0,IF(ISERROR(Q91/R91),0,Q91/R91))</f>
        <v>0</v>
      </c>
      <c r="T91" s="649" t="s">
        <v>642</v>
      </c>
      <c r="U91" s="649">
        <v>0</v>
      </c>
      <c r="V91" s="649">
        <v>0</v>
      </c>
      <c r="W91" s="651"/>
      <c r="X91" s="649">
        <v>0</v>
      </c>
      <c r="Y91" s="649">
        <v>0</v>
      </c>
      <c r="Z91" s="649">
        <v>0</v>
      </c>
      <c r="AA91" s="649">
        <v>0</v>
      </c>
      <c r="AB91" s="649">
        <v>0</v>
      </c>
      <c r="AC91" s="649"/>
      <c r="AD91" s="647"/>
      <c r="AE91" s="652"/>
      <c r="AF91" s="653"/>
      <c r="AG91" s="654"/>
      <c r="AH91" s="655"/>
      <c r="AI91" s="656"/>
      <c r="AJ91" s="657"/>
      <c r="AK91" s="658"/>
      <c r="AL91" s="658"/>
      <c r="AM91" s="658"/>
      <c r="AN91" s="657"/>
      <c r="AO91" s="658"/>
      <c r="AP91" s="658"/>
      <c r="AQ91" s="658"/>
      <c r="AR91" s="682"/>
      <c r="AS91" s="660">
        <f>IF(OR(OR(AND(C91="",D91&lt;&gt;""),AND(C91&lt;&gt;"",D91="")),AND(OR(SUM(Q91)&lt;&gt;0,SUM(R91)&lt;&gt;0,AND(U91&lt;&gt;"",U91&lt;&gt;0),AND(V91&lt;&gt;"",V91&lt;&gt;0),AND(W91&lt;&gt;"",W91&lt;&gt;0),AND(X91&lt;&gt;"",X91&lt;&gt;0),AND(Y91&lt;&gt;"",Y91&lt;&gt;0),AND(Z91&lt;&gt;"",Z91&lt;&gt;0),AND(AA91&lt;&gt;"",AA91&lt;&gt;0),AND(AB91&lt;&gt;"",AB91&lt;&gt;0),AND(AC91&lt;&gt;"",AC91&lt;&gt;0),AND(AD91&lt;&gt;"",AD91&lt;&gt;0),AE91&lt;&gt;"",AF91&lt;&gt;""),OR(C91="",D91=""))),"Error 2.11",IF(LEFT(C91,11)="Situated at","Error 2.12",""))</f>
      </c>
      <c r="AT91" s="660">
        <f>IF(OR(OR(AND(C91="",D91&lt;&gt;""),AND(C91&lt;&gt;"",D91="")),AND(OR(SUM(Q91)&lt;&gt;0,SUM(R91)&lt;&gt;0,AND(U91&lt;&gt;"",U91&lt;&gt;0),AND(V91&lt;&gt;"",V91&lt;&gt;0),AND(W91&lt;&gt;"",W91&lt;&gt;0),AND(X91&lt;&gt;"",X91&lt;&gt;0),AND(Y91&lt;&gt;"",Y91&lt;&gt;0),AND(Z91&lt;&gt;"",Z91&lt;&gt;0),AND(AA91&lt;&gt;"",AA91&lt;&gt;0),AND(AB91&lt;&gt;"",AB91&lt;&gt;0),AND(AC91&lt;&gt;"",AC91&lt;&gt;0),AND(AD91&lt;&gt;"",AD91&lt;&gt;0),AE91&lt;&gt;"",AF91&lt;&gt;""),OR(C91="",D91=""))),"Error 2.11",IF(AND(C91&lt;&gt;"",ISNUMBER(D91)=FALSE),"Error 1.2",IF(AND(C91&lt;&gt;"",'Table 3a'!D92-INT('Table 3a'!D92)&lt;&gt;0),"Error 2.1",IF(AND(C91&lt;&gt;"",OR(D91&lt;2000,AND(D91&gt;3999,D91&lt;5200),AND(D91&gt;5299,D91&lt;5940),D91&gt;5949)),"Error 2.3",IF(AND(C91&lt;&gt;"",COUNTIF(startdfes:enddfes,D91)&gt;1),"Warning 1.2","")))))</f>
      </c>
      <c r="AU91" s="660">
        <f>IF(AND(OR(E91="",E91=0),C91="",D91=""),"",IF(AND(OR(C91&lt;&gt;"",D91&lt;&gt;""),E91=""),"Error 4.10.2",IF(AND(E91&lt;&gt;"",ISNUMBER(E91)=FALSE),"Error 1.2",IF(E91&lt;=0,"Error 1.4",IF('Table 3a'!AC92&lt;&gt;'Table 3a'!CA92,"Warning 2.7","")))))</f>
      </c>
      <c r="AV91" s="660">
        <f>IF(AND(OR(F91="",F91=0),C91="",D91=""),"",IF(AND(OR(C91&lt;&gt;"",D91&lt;&gt;""),F91=""),"Error 4.10.2",IF(AND(F91&lt;&gt;"",ISNUMBER(F91)=FALSE),"Error 1.2",IF(F91&lt;0,"Error 1.3",""))))</f>
      </c>
      <c r="AW91" s="661"/>
      <c r="AX91" s="660">
        <f>IF(AND(OR(H91="",H91=0),C91="",D91=""),"",IF(AND(OR(C91&lt;&gt;"",D91&lt;&gt;""),H91=""),"Error 4.10.2",IF(AND(H91&lt;&gt;"",ISNUMBER(H91)=FALSE),"Error 1.2",IF(H91&lt;0,"Error 1.3",""))))</f>
      </c>
      <c r="AY91" s="660">
        <f>IF(AND(OR(I91="",I91=0),C91="",D91=""),"",IF(AND(OR(C91&lt;&gt;"",D91&lt;&gt;""),I91=""),"Error 4.10.2",IF(AND(I91&lt;&gt;"",ISNUMBER(I91)=FALSE),"Error 1.2",IF(I91=0,"Warning 2.4",IF(I91&lt;0,"Error 1.3","")))))</f>
      </c>
      <c r="AZ91" s="660">
        <f>IF(AND(OR(J91="",J91=0),C91="",D91=""),"",IF(AND(OR(C91&lt;&gt;"",D91&lt;&gt;""),J91=""),"Error 4.10.2",IF(AND(J91&lt;&gt;"",ISNUMBER(J91)=FALSE),"Error 1.2",IF(J91&lt;0,"Error 1.3",""))))</f>
      </c>
      <c r="BA91" s="660">
        <f>IF(AND(OR(K91="",K91=0),C91="",D91=""),"",IF(AND(OR(C91&lt;&gt;"",D91&lt;&gt;""),K91=""),"Error 4.10.2",IF(AND(K91&lt;&gt;"",ISNUMBER(K91)=FALSE),"Error 1.2",IF(K91&lt;0,"Error 1.3",""))))</f>
      </c>
      <c r="BB91" s="660">
        <f>IF(AND(OR(L91="",L91=0),C91="",D91=""),"",IF(AND(OR(C91&lt;&gt;"",D91&lt;&gt;""),L91=""),"Error 4.10.2",IF(AND(L91&lt;&gt;"",ISNUMBER(L91)=FALSE),"Error 1.2",IF(L91&lt;0,"Error 1.3",""))))</f>
      </c>
      <c r="BC91" s="660">
        <f>IF(AND(OR(M91="",M91=0),C91="",D91=""),"",IF(AND(OR(C91&lt;&gt;"",D91&lt;&gt;""),M91=""),"Error 4.10.2",IF(AND(M91&lt;&gt;"",ISNUMBER(M91)=FALSE),"Error 1.2",IF(M91&lt;0,"Error 1.3",""))))</f>
      </c>
      <c r="BD91" s="660">
        <f>IF(AND(OR(N91="",N91=0),C91="",D91=""),"",IF(AND(OR(C91&lt;&gt;"",D91&lt;&gt;""),N91=""),"Error 4.10.2",IF(AND(N91&lt;&gt;"",ISNUMBER(N91)=FALSE),"Error 1.2",IF(N91&lt;0,"Error 1.3",""))))</f>
      </c>
      <c r="BE91" s="660">
        <f>IF(AND(OR(O91="",O91=0),C91="",D91=""),"",IF(AND(OR(C91&lt;&gt;"",D91&lt;&gt;""),O91=""),"Error 4.10.2",IF(AND(O91&lt;&gt;"",ISNUMBER(O91)=FALSE),"Error 1.2","")))</f>
      </c>
      <c r="BF91" s="660">
        <f>IF(AND(OR(P91="",P91=0),C91="",D91=""),"",IF(AND(OR(C91&lt;&gt;"",D91&lt;&gt;""),P91=""),"Error 4.10.2",IF(AND(P91&lt;&gt;"",ISNUMBER(P91)=FALSE),"Error 1.2",IF(P91&lt;0,"Error 1.3",""))))</f>
      </c>
      <c r="BG91" s="660">
        <f>IF(AND(OR(Q91="",Q91=0),C91="",D91=""),"",IF(AND(OR(C91&lt;&gt;"",D91&lt;&gt;""),Q91=""),"Error 4.10.2",IF(AND(Q91&lt;&gt;"",ISNUMBER(Q91)=FALSE),"Error 1.2",IF(AND(OR(Q91&lt;10000,Q91&gt;10000000)),"Error 3.2.1",IF(ABS(('Table 3a'!BY92*2)-'Table 3a'!BZ92)&gt;50,"Error 3.7","")))))</f>
      </c>
      <c r="BH91" s="660">
        <f>IF(AND(OR(R91="",R91=0),C91="",D91=""),"",IF(AND(OR(C91&lt;&gt;"",D91&lt;&gt;""),R91=""),"Error 4.10.2",IF(AND(R91&lt;&gt;"",ISNUMBER(R91)=FALSE),"Error 1.2",IF(OR(R91&lt;1,R91&gt;2999),"Error 2.6",""))))</f>
      </c>
      <c r="BI91" s="660">
        <f>IF(AND(OR(S91="",S91=0),C91="",D91=""),"",IF(AND(OR(C91&lt;&gt;"",D91&lt;&gt;""),S91=""),"Error 4.10.2",IF(AND(S91&lt;&gt;"",ISNUMBER(S91)=FALSE),"Error 1.2",IF(S91&lt;=0,"Error 1.4",""))))</f>
      </c>
      <c r="BJ91" s="660">
        <f t="shared" si="52"/>
      </c>
      <c r="BK91" s="660">
        <f>IF(AND(U91="",C91="",D91=""),"",IF(AND(U91="",$H$1&lt;&gt;"*"),"",IF(AND(OR(C91&lt;&gt;"",D91&lt;&gt;""),AND(U91="",$H$1="*")),"Error 1.1",IF(AND(U91&lt;&gt;"",ISNUMBER(U91)=FALSE),"Error 1.2",IF(U91&lt;0,"Error 1.3",IF(U91&gt;=500000,"Error 3.4.1",""))))))</f>
      </c>
      <c r="BL91" s="660">
        <f>IF(AND(V91="",C91="",D91=""),"",IF(AND(V91="",$H$1&lt;&gt;"*"),"",IF(AND(OR(C91&lt;&gt;"",D91&lt;&gt;""),AND(V91="",$H$1="*")),"Error 1.1",IF(AND(V91&lt;&gt;"",ISNUMBER(V91)=FALSE),"Error 1.2",IF(V91&lt;0,"Error 1.3",IF(V91&gt;=500000,"Error 3.4.2",""))))))</f>
      </c>
      <c r="BM91" s="663"/>
      <c r="BN91" s="660">
        <f>IF(AND(X91="",C91="",D91=""),"",IF(AND(X91="",$H$1&lt;&gt;"*"),"",IF(AND(OR(C91&lt;&gt;"",D91&lt;&gt;""),AND(X91="",$H$1="*")),"Error 1.1",IF(AND(X91&lt;&gt;"",ISNUMBER(X91)=FALSE),"Error 1.2",IF(X91&lt;0,"Error 1.3",IF(X91&gt;=1000000,"Error 3.4.3",""))))))</f>
      </c>
      <c r="BO91" s="660">
        <f>IF(AND(Y91="",C91="",D91=""),"",IF(AND(Y91="",$H$1&lt;&gt;"*"),"",IF(AND(OR(C91&lt;&gt;"",D91&lt;&gt;""),AND(Y91="",$H$1="*")),"Error 1.1",IF(AND(Y91&lt;&gt;"",ISNUMBER(Y91)=FALSE),"Error 1.2",IF(Y91&lt;0,"Error 1.3",IF(Y91&gt;=1000000,"Error 3.4.3",""))))))</f>
      </c>
      <c r="BP91" s="660">
        <f>IF(AND(Z91="",C91="",D91=""),"",IF(AND(Z91="",$H$1&lt;&gt;"*"),"",IF(AND(OR(C91&lt;&gt;"",D91&lt;&gt;""),AND(Z91="",$H$1="*")),"Error 1.1",IF(AND(Z91&lt;&gt;"",ISNUMBER(Z91)=FALSE),"Error 1.2",IF(Z91&lt;0,"Error 1.3",IF(Z91&gt;=500000,"Error 3.4.4",""))))))</f>
      </c>
      <c r="BQ91" s="660">
        <f>IF(AND(AA91="",C91="",D91=""),"",IF(AND(AA91="",$H$1&lt;&gt;"*"),"",IF(AND(OR(C91&lt;&gt;"",D91&lt;&gt;""),AND(AA91="",$H$1="*")),"Error 1.1",IF(AND(AA91&lt;&gt;"",ISNUMBER(AA91)=FALSE),"Error 1.2",IF(AA91&lt;0,"Error 1.3",IF(AA91&gt;=500000,"Error 3.4.5",""))))))</f>
      </c>
      <c r="BR91" s="660">
        <f>IF(AND(AB91="",C91="",D91=""),"",IF(AND(AB91="",$H$1&lt;&gt;"*"),"",IF(AND(OR(C91&lt;&gt;"",D91&lt;&gt;""),AND(AB91="",$H$1="*")),"Error 1.1",IF(AND(AB91&lt;&gt;"",ISNUMBER(AB91)=FALSE),"Error 1.2",IF(AB91&lt;0,"Error 1.3",IF(AB91&gt;=500000,"Error 3.4.6",""))))))</f>
      </c>
      <c r="BS91" s="660">
        <f>IF(AND(AC91="",C91="",D91=""),"",IF(AND(AC91="",$H$1&lt;&gt;"*"),"",IF(AND(OR(C91&lt;&gt;"",D91&lt;&gt;""),AND(AC91="",$H$1="*")),"Error 1.1",IF(AND(AC91&lt;&gt;"",ISNUMBER(AC91)=FALSE),"Error 1.2",IF(AC91&lt;=0,"Error 1.4",IF(BX91&lt;&gt;"",BX91,""))))))</f>
      </c>
      <c r="BT91" s="662"/>
      <c r="BU91" s="660">
        <f>IF(AND(AE91&lt;&gt;"",UPPER(AE91)&lt;&gt;"C",UPPER(AE91)&lt;&gt;"O"),"Error 2.8","")</f>
      </c>
      <c r="BV91" s="660">
        <f>IF(AND(AE91="",AF91=""),"",IF(AND(AE91&lt;&gt;"",AF91=""),"Error 2.9.1",IF(AND(AE91="",AF91&lt;&gt;""),"Error 2.9.1",IF(ISNUMBER(AF91)&lt;&gt;TRUE,"Error 2.9.1",IF(AND(AE91&lt;&gt;"",R91&gt;0,(OR(AF91&lt;DATE(2010,4,1),AF91&gt;DATE(2011,3,31)))),"Error 2.10.2","")))))</f>
      </c>
      <c r="BW91" s="605">
        <f>IF(LEN(TRIM(AS91&amp;AT91&amp;AU91&amp;AV91&amp;AX91&amp;AY91&amp;AZ91&amp;BA91&amp;BB91&amp;BC91&amp;BD91&amp;BE91&amp;BF91&amp;BG91&amp;BH91&amp;BI91&amp;BJ91&amp;BK91&amp;BL91&amp;BM91&amp;BN91&amp;BO91&amp;BP91&amp;BQ91&amp;BR91&amp;BS91&amp;BU91&amp;BV91))&gt;0,1,0)</f>
        <v>0</v>
      </c>
      <c r="BX91" s="660">
        <f>IF(AND(AC91&lt;&gt;"",AC91&gt;=Q91),"Error 3.3.1",IF(AND(AC91&lt;&gt;"",AC91&lt;SUM(I91,J91)),"Error 3.3.2",""))</f>
      </c>
      <c r="BY91" s="664"/>
      <c r="BZ91" s="664"/>
      <c r="CA91" s="665"/>
      <c r="CB91" s="665"/>
      <c r="CC91" s="666"/>
      <c r="CE91" s="52"/>
      <c r="CF91" s="52"/>
      <c r="CG91" s="52"/>
      <c r="CH91" s="52"/>
      <c r="CI91" s="52"/>
      <c r="CJ91" s="52"/>
      <c r="CK91" s="52"/>
      <c r="CL91" s="52"/>
      <c r="CM91" s="52"/>
      <c r="CN91" s="52"/>
      <c r="CO91" s="52"/>
      <c r="CP91" s="52"/>
      <c r="CQ91" s="52"/>
      <c r="CR91" s="52"/>
      <c r="CS91" s="52"/>
      <c r="CT91" s="52"/>
      <c r="CU91" s="52"/>
      <c r="CV91" s="52"/>
      <c r="CW91" s="52"/>
      <c r="CX91" s="52"/>
      <c r="CY91" s="52"/>
      <c r="CZ91" s="52"/>
      <c r="DA91" s="52"/>
      <c r="DB91" s="52"/>
      <c r="DC91" s="52"/>
      <c r="DD91" s="52"/>
      <c r="DE91" s="52"/>
      <c r="DF91" s="52"/>
      <c r="DH91" s="52"/>
      <c r="DI91" s="52"/>
      <c r="DJ91" s="52"/>
      <c r="DK91" s="52"/>
      <c r="DL91" s="52"/>
      <c r="DM91" s="52"/>
      <c r="DN91" s="52"/>
      <c r="DO91" s="52"/>
      <c r="DP91" s="52"/>
      <c r="DQ91" s="52"/>
    </row>
    <row r="92" spans="1:113" ht="12.75">
      <c r="A92" s="52"/>
      <c r="B92" s="52"/>
      <c r="C92" s="52"/>
      <c r="D92" s="52"/>
      <c r="E92" s="52"/>
      <c r="F92" s="52"/>
      <c r="G92" s="52"/>
      <c r="H92" s="684"/>
      <c r="I92" s="52"/>
      <c r="J92" s="684"/>
      <c r="K92" s="684"/>
      <c r="L92" s="684"/>
      <c r="M92" s="684"/>
      <c r="N92" s="684"/>
      <c r="O92" s="684"/>
      <c r="P92" s="684"/>
      <c r="Q92" s="52"/>
      <c r="R92" s="52"/>
      <c r="S92" s="52"/>
      <c r="T92" s="52"/>
      <c r="U92" s="52"/>
      <c r="V92" s="52"/>
      <c r="W92" s="52"/>
      <c r="X92" s="52"/>
      <c r="Y92" s="52"/>
      <c r="Z92" s="52"/>
      <c r="AA92" s="52"/>
      <c r="AB92" s="52"/>
      <c r="AC92" s="52"/>
      <c r="AD92" s="52"/>
      <c r="AE92" s="52"/>
      <c r="AF92" s="52"/>
      <c r="AG92" s="52"/>
      <c r="AI92" s="118"/>
      <c r="AQ92" s="52"/>
      <c r="AR92" s="52"/>
      <c r="AS92" s="52"/>
      <c r="AT92" s="52"/>
      <c r="AU92" s="52"/>
      <c r="AV92" s="52"/>
      <c r="AW92" s="685"/>
      <c r="AX92" s="52"/>
      <c r="AY92" s="52"/>
      <c r="AZ92" s="52"/>
      <c r="BA92" s="52"/>
      <c r="BB92" s="52"/>
      <c r="BC92" s="52"/>
      <c r="BD92" s="52"/>
      <c r="BE92" s="52"/>
      <c r="BF92" s="52"/>
      <c r="BG92" s="52"/>
      <c r="BH92" s="52"/>
      <c r="BI92" s="52"/>
      <c r="BJ92" s="669"/>
      <c r="BK92" s="52"/>
      <c r="BL92" s="256"/>
      <c r="BM92" s="154"/>
      <c r="BN92" s="52"/>
      <c r="BO92" s="52"/>
      <c r="BP92" s="52"/>
      <c r="BQ92" s="256"/>
      <c r="BR92" s="52"/>
      <c r="BS92" s="52"/>
      <c r="BT92" s="256"/>
      <c r="BU92" s="52"/>
      <c r="BV92" s="669"/>
      <c r="BW92" s="686"/>
      <c r="BX92" s="52"/>
      <c r="CA92" s="665"/>
      <c r="CB92" s="665"/>
      <c r="CC92" s="666"/>
      <c r="CE92" s="52"/>
      <c r="CF92" s="52"/>
      <c r="CG92" s="52"/>
      <c r="CH92" s="52"/>
      <c r="CI92" s="52"/>
      <c r="CJ92" s="52"/>
      <c r="CK92" s="52"/>
      <c r="CL92" s="52"/>
      <c r="CM92" s="52"/>
      <c r="CN92" s="52"/>
      <c r="CO92" s="52"/>
      <c r="CP92" s="52"/>
      <c r="CQ92" s="52"/>
      <c r="CR92" s="52"/>
      <c r="CS92" s="52"/>
      <c r="CT92" s="52"/>
      <c r="CU92" s="52"/>
      <c r="CV92" s="52"/>
      <c r="CW92" s="52"/>
      <c r="CX92" s="52"/>
      <c r="CY92" s="52"/>
      <c r="CZ92" s="52"/>
      <c r="DA92" s="52"/>
      <c r="DB92" s="52"/>
      <c r="DC92" s="52"/>
      <c r="DD92" s="52"/>
      <c r="DE92" s="52"/>
      <c r="DF92" s="52"/>
      <c r="DG92" s="3">
        <f aca="true" t="shared" si="65" ref="DG92:DG98">IF(LEFT(BJ93,1)="W",1,0)</f>
        <v>0</v>
      </c>
      <c r="DH92" s="52"/>
      <c r="DI92" s="52"/>
    </row>
    <row r="93" spans="1:111" ht="12.75">
      <c r="A93" s="52"/>
      <c r="B93" s="52"/>
      <c r="C93" s="1033" t="s">
        <v>644</v>
      </c>
      <c r="D93" s="1033"/>
      <c r="E93" s="52"/>
      <c r="F93" s="52"/>
      <c r="G93" s="52"/>
      <c r="H93" s="687"/>
      <c r="I93" s="52"/>
      <c r="J93" s="687"/>
      <c r="K93" s="687"/>
      <c r="L93" s="687"/>
      <c r="M93" s="687"/>
      <c r="N93" s="687"/>
      <c r="O93" s="687"/>
      <c r="P93" s="687"/>
      <c r="Q93" s="52"/>
      <c r="R93" s="52"/>
      <c r="S93" s="52"/>
      <c r="T93" s="52"/>
      <c r="U93" s="52"/>
      <c r="V93" s="52"/>
      <c r="W93" s="52"/>
      <c r="X93" s="52"/>
      <c r="Y93" s="52"/>
      <c r="Z93" s="52"/>
      <c r="AA93" s="52"/>
      <c r="AB93" s="52"/>
      <c r="AC93" s="52"/>
      <c r="AD93" s="52"/>
      <c r="AE93" s="52"/>
      <c r="AF93" s="52"/>
      <c r="AG93" s="52"/>
      <c r="AI93" s="118"/>
      <c r="AQ93" s="52"/>
      <c r="AR93" s="52"/>
      <c r="AS93" s="667" t="str">
        <f>C93</f>
        <v>Middle Deemed Primary Schools</v>
      </c>
      <c r="AT93" s="667"/>
      <c r="AU93" s="52"/>
      <c r="AV93" s="52"/>
      <c r="AW93" s="685"/>
      <c r="AX93" s="52"/>
      <c r="AY93" s="52"/>
      <c r="AZ93" s="52"/>
      <c r="BA93" s="52"/>
      <c r="BB93" s="52"/>
      <c r="BC93" s="52"/>
      <c r="BD93" s="52"/>
      <c r="BE93" s="52"/>
      <c r="BF93" s="52"/>
      <c r="BG93" s="52"/>
      <c r="BH93" s="52"/>
      <c r="BI93" s="52"/>
      <c r="BJ93" s="680"/>
      <c r="BK93" s="52"/>
      <c r="BL93" s="256"/>
      <c r="BM93" s="154"/>
      <c r="BN93" s="52"/>
      <c r="BO93" s="52"/>
      <c r="BP93" s="52"/>
      <c r="BQ93" s="256"/>
      <c r="BR93" s="52"/>
      <c r="BS93" s="52"/>
      <c r="BT93" s="256"/>
      <c r="BU93" s="52"/>
      <c r="BV93" s="680"/>
      <c r="BW93" s="688"/>
      <c r="BX93" s="52"/>
      <c r="CA93" s="665"/>
      <c r="CB93" s="665"/>
      <c r="CC93" s="666"/>
      <c r="DG93" s="3">
        <f t="shared" si="65"/>
        <v>0</v>
      </c>
    </row>
    <row r="94" spans="2:111" ht="12.75">
      <c r="B94" s="645">
        <f>IF('Table 3a'!B97="","",'Table 3a'!B97)</f>
      </c>
      <c r="C94" s="644">
        <f>IF('Table 3a'!C97="","",'Table 3a'!C97)</f>
      </c>
      <c r="D94" s="645">
        <f>IF('Table 3a'!D97="","",'Table 3a'!D97)</f>
      </c>
      <c r="E94" s="646">
        <f>IF('Table 3a'!AC97="","",'Table 3a'!AC97)</f>
        <v>0</v>
      </c>
      <c r="F94" s="646">
        <f>IF('Table 3a'!AJ97="","",'Table 3a'!AJ97)</f>
        <v>0</v>
      </c>
      <c r="G94" s="647"/>
      <c r="H94" s="646">
        <f>IF('Table 3a'!AO97="","",'Table 3a'!AO97)</f>
        <v>0</v>
      </c>
      <c r="I94" s="646">
        <f>IF('Table 3a'!AU97="","",'Table 3a'!AU97)</f>
        <v>0</v>
      </c>
      <c r="J94" s="646">
        <f>IF('Table 3a'!AX97="","",'Table 3a'!AX97)</f>
        <v>0</v>
      </c>
      <c r="K94" s="646">
        <f>IF('Table 3a'!BC97="","",'Table 3a'!BC97)</f>
        <v>0</v>
      </c>
      <c r="L94" s="646">
        <f>IF('Table 3a'!BI97="","",'Table 3a'!BI97)</f>
        <v>0</v>
      </c>
      <c r="M94" s="646">
        <f>IF('Table 3a'!BN97="","",'Table 3a'!BN97)</f>
        <v>0</v>
      </c>
      <c r="N94" s="646">
        <f>IF('Table 3a'!BT97="","",'Table 3a'!BT97)</f>
        <v>0</v>
      </c>
      <c r="O94" s="646">
        <f>IF('Table 3a'!BW97="","",'Table 3a'!BW97)</f>
        <v>0</v>
      </c>
      <c r="P94" s="646">
        <f>IF('Table 3a'!BX97="","",'Table 3a'!BX97)</f>
      </c>
      <c r="Q94" s="646">
        <f>SUM(E94,F94,G94,H94,I94,J94,K94,L94,M94,N94,O94,P94)</f>
        <v>0</v>
      </c>
      <c r="R94" s="646">
        <f>IF('Table 3a'!AB97="","",'Table 3a'!AB97)</f>
        <v>0</v>
      </c>
      <c r="S94" s="646">
        <f>IF(R94=0,0,IF(ISERROR(Q94/R94),0,Q94/R94))</f>
        <v>0</v>
      </c>
      <c r="T94" s="649"/>
      <c r="U94" s="649"/>
      <c r="V94" s="649"/>
      <c r="W94" s="651"/>
      <c r="X94" s="649"/>
      <c r="Y94" s="649"/>
      <c r="Z94" s="649"/>
      <c r="AA94" s="649"/>
      <c r="AB94" s="649"/>
      <c r="AC94" s="649"/>
      <c r="AD94" s="647"/>
      <c r="AE94" s="652"/>
      <c r="AF94" s="653"/>
      <c r="AG94" s="654"/>
      <c r="AH94" s="655"/>
      <c r="AI94" s="656"/>
      <c r="AJ94" s="657"/>
      <c r="AK94" s="658"/>
      <c r="AL94" s="658"/>
      <c r="AM94" s="658"/>
      <c r="AN94" s="657"/>
      <c r="AO94" s="658"/>
      <c r="AP94" s="658"/>
      <c r="AQ94" s="658"/>
      <c r="AR94" s="682"/>
      <c r="AS94" s="660">
        <f>IF(OR(OR(AND(C94="",D94&lt;&gt;""),AND(C94&lt;&gt;"",D94="")),AND(OR(SUM(Q94)&lt;&gt;0,SUM(R94)&lt;&gt;0,AND(U94&lt;&gt;"",U94&lt;&gt;0),AND(V94&lt;&gt;"",V94&lt;&gt;0),AND(W94&lt;&gt;"",W94&lt;&gt;0),AND(X94&lt;&gt;"",X94&lt;&gt;0),AND(Y94&lt;&gt;"",Y94&lt;&gt;0),AND(Z94&lt;&gt;"",Z94&lt;&gt;0),AND(AA94&lt;&gt;"",AA94&lt;&gt;0),AND(AB94&lt;&gt;"",AB94&lt;&gt;0),AND(AC94&lt;&gt;"",AC94&lt;&gt;0),AND(AD94&lt;&gt;"",AD94&lt;&gt;0),AE94&lt;&gt;"",AF94&lt;&gt;""),OR(C94="",D94=""))),"Error 2.11",IF(LEFT(C94,11)="Situated at","Error 2.12",""))</f>
      </c>
      <c r="AT94" s="660">
        <f>IF(OR(OR(AND(C94="",D94&lt;&gt;""),AND(C94&lt;&gt;"",D94="")),AND(OR(SUM(Q94)&lt;&gt;0,SUM(R94)&lt;&gt;0,AND(U94&lt;&gt;"",U94&lt;&gt;0),AND(V94&lt;&gt;"",V94&lt;&gt;0),AND(W94&lt;&gt;"",W94&lt;&gt;0),AND(X94&lt;&gt;"",X94&lt;&gt;0),AND(Y94&lt;&gt;"",Y94&lt;&gt;0),AND(Z94&lt;&gt;"",Z94&lt;&gt;0),AND(AA94&lt;&gt;"",AA94&lt;&gt;0),AND(AB94&lt;&gt;"",AB94&lt;&gt;0),AND(AC94&lt;&gt;"",AC94&lt;&gt;0),AND(AD94&lt;&gt;"",AD94&lt;&gt;0),AE94&lt;&gt;"",AF94&lt;&gt;""),OR(C94="",D94=""))),"Error 2.11",IF(AND(C94&lt;&gt;"",ISNUMBER(D94)=FALSE),"Error 1.2",IF(AND(C94&lt;&gt;"",'Table 3a'!D95-INT('Table 3a'!D95)&lt;&gt;0),"Error 2.1",IF(AND(C94&lt;&gt;"",OR(D94&lt;2000,AND(D94&gt;3999,D94&lt;5200),AND(D94&gt;5299,D94&lt;5940),D94&gt;5949)),"Error 2.3",IF(AND(C94&lt;&gt;"",COUNTIF(startdfes:enddfes,D94)&gt;1),"Warning 1.2","")))))</f>
      </c>
      <c r="AU94" s="660">
        <f>IF(AND(OR(E94="",E94=0),C94="",D94=""),"",IF(AND(OR(C94&lt;&gt;"",D94&lt;&gt;""),E94=""),"Error 4.10.2",IF(AND(E94&lt;&gt;"",ISNUMBER(E94)=FALSE),"Error 1.2",IF(E94&lt;=0,"Error 1.4",IF('Table 3a'!AC97&lt;&gt;'Table 3a'!CA97,"Warning 2.7","")))))</f>
      </c>
      <c r="AV94" s="660">
        <f>IF(AND(OR(F94="",F94=0),C94="",D94=""),"",IF(AND(OR(C94&lt;&gt;"",D94&lt;&gt;""),F94=""),"Error 4.10.2",IF(AND(F94&lt;&gt;"",ISNUMBER(F94)=FALSE),"Error 1.2",IF(F94&lt;0,"Error 1.3",""))))</f>
      </c>
      <c r="AW94" s="661"/>
      <c r="AX94" s="660">
        <f>IF(AND(OR(H94="",H94=0),C94="",D94=""),"",IF(AND(OR(C94&lt;&gt;"",D94&lt;&gt;""),H94=""),"Error 4.10.2",IF(AND(H94&lt;&gt;"",ISNUMBER(H94)=FALSE),"Error 1.2",IF(H94&lt;0,"Error 1.3",""))))</f>
      </c>
      <c r="AY94" s="660">
        <f>IF(AND(OR(I94="",I94=0),C94="",D94=""),"",IF(AND(OR(C94&lt;&gt;"",D94&lt;&gt;""),I94=""),"Error 4.10.2",IF(AND(I94&lt;&gt;"",ISNUMBER(I94)=FALSE),"Error 1.2",IF(I94=0,"Warning 2.4",IF(I94&lt;0,"Error 1.3","")))))</f>
      </c>
      <c r="AZ94" s="660">
        <f>IF(AND(OR(J94="",J94=0),C94="",D94=""),"",IF(AND(OR(C94&lt;&gt;"",D94&lt;&gt;""),AND(J94="",$H$1="*")),"Error 1.1",IF(AND(J94&lt;&gt;"",ISNUMBER(J94)=FALSE),"Error 1.2",IF(J94&lt;0,"Error 1.3",""))))</f>
      </c>
      <c r="BA94" s="660">
        <f>IF(AND(OR(K94="",K94=0),C94="",D94=""),"",IF(AND(OR(C94&lt;&gt;"",D94&lt;&gt;""),K94=""),"Error 4.10.2",IF(AND(K94&lt;&gt;"",ISNUMBER(K94)=FALSE),"Error 1.2",IF(K94&lt;0,"Error 1.3",""))))</f>
      </c>
      <c r="BB94" s="660">
        <f>IF(AND(OR(L94="",L94=0),C94="",D94=""),"",IF(AND(OR(C94&lt;&gt;"",D94&lt;&gt;""),L94=""),"Error 4.10.2",IF(AND(L94&lt;&gt;"",ISNUMBER(L94)=FALSE),"Error 1.2",IF(L94&lt;0,"Error 1.3",""))))</f>
      </c>
      <c r="BC94" s="660">
        <f>IF(AND(OR(M94="",M94=0),C94="",D94=""),"",IF(AND(OR(C94&lt;&gt;"",D94&lt;&gt;""),M94=""),"Error 4.10.2",IF(AND(M94&lt;&gt;"",ISNUMBER(M94)=FALSE),"Error 1.2",IF(M94&lt;0,"Error 1.3",""))))</f>
      </c>
      <c r="BD94" s="660">
        <f>IF(AND(OR(N94="",N94=0),C94="",D94=""),"",IF(AND(OR(C94&lt;&gt;"",D94&lt;&gt;"")*N94=""),"Error 4.10.2",IF(AND(N94&lt;&gt;"",ISNUMBER(N94)=FALSE),"Error 1.2",IF(N94&lt;0,"Error 1.3",""))))</f>
      </c>
      <c r="BE94" s="660">
        <f>IF(AND(OR(O94="",O94=0),C94="",D94=""),"",IF(AND(OR(C94&lt;&gt;"",D94&lt;&gt;""),O94=""),"Error 4.10.2",IF(AND(O94&lt;&gt;"",ISNUMBER(O94)=FALSE),"Error 1.2","")))</f>
      </c>
      <c r="BF94" s="660">
        <f>IF(AND(OR(P94="",P94=0),C94="",D94=""),"",IF(AND(OR(C94&lt;&gt;"",D94&lt;&gt;""),P94=""),"Error 4.10.2",IF(AND(P94&lt;&gt;"",ISNUMBER(P94)=FALSE),"Error 1.2",IF(P94&lt;0,"Error 1.3",""))))</f>
      </c>
      <c r="BG94" s="660">
        <f>IF(AND(OR(Q94="",Q94=0),C94="",D94=""),"",IF(AND(OR(C94&lt;&gt;"",D94&lt;&gt;""),Q94=""),"Error 4.10.2",IF(AND(Q94&lt;&gt;"",ISNUMBER(Q94)=FALSE),"Error 1.2",IF(AND(OR(Q94&lt;10000,Q94&gt;10000000)),"Error 3.2.1",IF(ABS(('Table 3a'!BY97*2)-'Table 3a'!BZ97)&gt;50,"Error 3.7","")))))</f>
      </c>
      <c r="BH94" s="660">
        <f>IF(AND(OR(R94="",R94=0),C94="",D94=""),"",IF(AND(OR(C94&lt;&gt;"",D94&lt;&gt;""),R94=""),"Error 4.10.2",IF(AND(R94&lt;&gt;"",ISNUMBER(R94)=FALSE),"Error 1.2",IF(OR(R94&lt;1,R94&gt;2999),"Error 2.6",""))))</f>
      </c>
      <c r="BI94" s="660">
        <f>IF(AND(OR(S94="",S94=0),C94="",D94=""),"",IF(AND(OR(C94&lt;&gt;"",D94&lt;&gt;""),S94=""),"Error 4.10.2",IF(AND(S94&lt;&gt;"",ISNUMBER(S94)=FALSE),"Error 1.2",IF(S94&lt;=0,"Error 1.4",""))))</f>
      </c>
      <c r="BJ94" s="660">
        <f>IF(AND(T94="",C94="",D94=""),"",IF(AND(T94="",$H$1&lt;&gt;"*"),"",IF(AND(OR(C94&lt;&gt;"",D94&lt;&gt;""),AND(T94="",$H$1="*")),"Error 1.1",IF(AND(OR(C94&lt;&gt;"",D94&lt;&gt;""),AND(T94="",$H$1="*")),"Error 1.1",IF(AND(AND(T94&lt;&gt;"School Forum",T94&lt;&gt;"Secretary Of State",T94&lt;&gt;"No Variation Applied"),OR(C94&lt;&gt;"",D94&lt;&gt;"")),"Error 3.9",IF(AND(OR(T94="School Forum",T94="Secretary Of State"),($DG$187="NO")),"Warning 2.6",""))))))</f>
      </c>
      <c r="BK94" s="660">
        <f>IF(AND(U94="",C94="",D94=""),"",IF(AND(U94="",$H$1&lt;&gt;"*"),"",IF(AND(OR(C94&lt;&gt;"",D94&lt;&gt;""),AND(U94="",$H$1="*")),"Error 1.1",IF(AND(U94&lt;&gt;"",ISNUMBER(U94)=FALSE),"Error 1.2",IF(U94&lt;0,"Error 1.3",IF(U94&gt;=500000,"Error 3.4.1",""))))))</f>
      </c>
      <c r="BL94" s="660">
        <f>IF(AND(V94="",C94="",D94=""),"",IF(AND(V94="",$H$1&lt;&gt;"*"),"",IF(AND(OR(C94&lt;&gt;"",D94&lt;&gt;""),AND(V94="",$H$1="*")),"Error 1.1",IF(AND(V94&lt;&gt;"",ISNUMBER(V94)=FALSE),"Error 1.2",IF(V94&lt;0,"Error 1.3",IF(V94&gt;=500000,"Error 3.4.2",""))))))</f>
      </c>
      <c r="BM94" s="663"/>
      <c r="BN94" s="660">
        <f>IF(AND(X94="",C94="",D94=""),"",IF(AND(X94="",$H$1&lt;&gt;"*"),"",IF(AND(OR(C94&lt;&gt;"",D94&lt;&gt;""),AND(X94="",$H$1="*")),"Error 1.1",IF(AND(X94&lt;&gt;"",ISNUMBER(X94)=FALSE),"Error 1.2",IF(X94&lt;0,"Error 1.3",IF(X94&gt;=1000000,"Error 3.4.3",""))))))</f>
      </c>
      <c r="BO94" s="660">
        <f>IF(AND(Y94="",C94="",D94=""),"",IF(AND(Y94="",$H$1&lt;&gt;"*"),"",IF(AND(OR(C94&lt;&gt;"",D94&lt;&gt;""),AND(Y94="",$H$1="*")),"Error 1.1",IF(AND(Y94&lt;&gt;"",ISNUMBER(Y94)=FALSE),"Error 1.2",IF(Y94&lt;0,"Error 1.3",IF(Y94&gt;=1000000,"Error 3.4.3",""))))))</f>
      </c>
      <c r="BP94" s="660">
        <f>IF(AND(Z94="",C94="",D94=""),"",IF(AND(Z94="",$H$1&lt;&gt;"*"),"",IF(AND(OR(C94&lt;&gt;"",D94&lt;&gt;""),AND(Z94="",$H$1="*")),"Error 1.1",IF(AND(Z94&lt;&gt;"",ISNUMBER(Z94)=FALSE),"Error 1.2",IF(Z94&lt;0,"Error 1.3",IF(Z94&gt;=500000,"Error 3.4.4",""))))))</f>
      </c>
      <c r="BQ94" s="660">
        <f>IF(AND(AA94="",C94="",D94=""),"",IF(AND(AA94="",$H$1&lt;&gt;"*"),"",IF(AND(OR(C94&lt;&gt;"",D94&lt;&gt;""),AND(AA94="",$H$1="*")),"Error 1.1",IF(AND(AA94&lt;&gt;"",ISNUMBER(AA94)=FALSE),"Error 1.2",IF(AA94&lt;0,"Error 1.3","")))))</f>
      </c>
      <c r="BR94" s="660">
        <f>IF(AND(AB94="",C94="",D94=""),"",IF(AND(AB94="",$H$1&lt;&gt;"*"),"",IF(AND(OR(C94&lt;&gt;"",D94&lt;&gt;""),AND(AB94="",$H$1="*")),"Error 1.1",IF(AND(AB94&lt;&gt;"",ISNUMBER(AB94)=FALSE),"Error 1.2",IF(AB94&lt;0,"Error 1.3","")))))</f>
      </c>
      <c r="BS94" s="660">
        <f>IF(AND(AC94="",C94="",D94=""),"",IF(AND(AC94="",$H$1&lt;&gt;"*"),"",IF(AND(OR(C94&lt;&gt;"",D94&lt;&gt;""),AND(AC94="",$H$1="*")),"Error 1.1",IF(AND(AC94&lt;&gt;"",ISNUMBER(AC94)=FALSE),"Error 1.2",IF(AC94&lt;=0,"Error 1.4",IF(BX94&lt;&gt;"",BX94,""))))))</f>
      </c>
      <c r="BT94" s="662"/>
      <c r="BU94" s="660">
        <f>IF(AND(AE94&lt;&gt;"",UPPER(AE94)&lt;&gt;"C",UPPER(AE94)&lt;&gt;"O"),"Error 2.8","")</f>
      </c>
      <c r="BV94" s="660">
        <f>IF(AND(AE94="",AF94=""),"",IF(AND(AE94&lt;&gt;"",AF94=""),"Error 2.9.1",IF(AND(AE94="",AF94&lt;&gt;""),"Error 2.9.1",IF(ISNUMBER(AF94)&lt;&gt;TRUE,"Error 2.9.1",IF(AND(AE94&lt;&gt;"",R94&gt;0,(OR(AF94&lt;DATE(2010,4,1),AF94&gt;DATE(2011,3,31)))),"Error 2.10.2","")))))</f>
      </c>
      <c r="BW94" s="605">
        <f>IF(LEN(TRIM(AS94&amp;AT94&amp;AU94&amp;AV94&amp;AX94&amp;AY94&amp;AZ94&amp;BA94&amp;BB94&amp;BC94&amp;BD94&amp;BE94&amp;BF94&amp;BG94&amp;BH94&amp;BI94&amp;BJ94&amp;BK94&amp;BL94&amp;BM94&amp;BN94&amp;BO94&amp;BP94&amp;BQ94&amp;BR94&amp;BS94&amp;BU94&amp;BV94))&gt;0,1,0)</f>
        <v>0</v>
      </c>
      <c r="BX94" s="660">
        <f>IF(AND(AC94&lt;&gt;"",AC94&gt;=Q94),"Error 3.3.1",IF(AND(AC94&lt;&gt;"",AC94&lt;SUM(I94,J94)),"Error 3.3.2",""))</f>
      </c>
      <c r="BY94" s="664"/>
      <c r="BZ94" s="664"/>
      <c r="CA94" s="665"/>
      <c r="CB94" s="665"/>
      <c r="CC94" s="666"/>
      <c r="DG94" s="3">
        <f t="shared" si="65"/>
        <v>0</v>
      </c>
    </row>
    <row r="95" spans="23:111" ht="13.5" thickBot="1">
      <c r="W95" s="52"/>
      <c r="AI95" s="118"/>
      <c r="AW95" s="689"/>
      <c r="BJ95" s="669"/>
      <c r="BL95" s="15"/>
      <c r="BM95" s="154"/>
      <c r="BQ95" s="15"/>
      <c r="BT95" s="15"/>
      <c r="CA95" s="665"/>
      <c r="CB95" s="665"/>
      <c r="CC95" s="666"/>
      <c r="DG95" s="3">
        <f t="shared" si="65"/>
        <v>0</v>
      </c>
    </row>
    <row r="96" spans="3:111" ht="14.25" thickBot="1" thickTop="1">
      <c r="C96" s="985" t="s">
        <v>645</v>
      </c>
      <c r="D96" s="985"/>
      <c r="E96" s="671">
        <f>SUM(E25:E95)</f>
        <v>38845846.96</v>
      </c>
      <c r="F96" s="671">
        <f>SUM(F25:F95)</f>
        <v>3367728.9000000004</v>
      </c>
      <c r="G96" s="672"/>
      <c r="H96" s="671">
        <f aca="true" t="shared" si="66" ref="H96:R96">SUM(H25:H95)</f>
        <v>0</v>
      </c>
      <c r="I96" s="671">
        <f t="shared" si="66"/>
        <v>2828199</v>
      </c>
      <c r="J96" s="671">
        <f t="shared" si="66"/>
        <v>475811.8333333333</v>
      </c>
      <c r="K96" s="671">
        <f t="shared" si="66"/>
        <v>1125054</v>
      </c>
      <c r="L96" s="671">
        <f t="shared" si="66"/>
        <v>1000489.9999999999</v>
      </c>
      <c r="M96" s="671">
        <f t="shared" si="66"/>
        <v>3627177</v>
      </c>
      <c r="N96" s="671">
        <f t="shared" si="66"/>
        <v>6066955.166666667</v>
      </c>
      <c r="O96" s="671">
        <f t="shared" si="66"/>
        <v>0</v>
      </c>
      <c r="P96" s="671">
        <f t="shared" si="66"/>
        <v>59824</v>
      </c>
      <c r="Q96" s="671">
        <f t="shared" si="66"/>
        <v>57397086.85999998</v>
      </c>
      <c r="R96" s="671">
        <f t="shared" si="66"/>
        <v>18110.5</v>
      </c>
      <c r="S96" s="671">
        <f>IF(R96=0,0,IF(ISERROR(Q96/R96),0,Q96/R96))</f>
        <v>3169.2712437536225</v>
      </c>
      <c r="T96" s="673"/>
      <c r="U96" s="671">
        <f>SUM(U25:U95)</f>
        <v>3088311.2666105744</v>
      </c>
      <c r="V96" s="671">
        <f>SUM(V25:V95)</f>
        <v>371466</v>
      </c>
      <c r="W96" s="673"/>
      <c r="X96" s="671">
        <f aca="true" t="shared" si="67" ref="X96:AC96">SUM(X25:X95)</f>
        <v>2957365</v>
      </c>
      <c r="Y96" s="671">
        <f t="shared" si="67"/>
        <v>0</v>
      </c>
      <c r="Z96" s="671">
        <f t="shared" si="67"/>
        <v>0</v>
      </c>
      <c r="AA96" s="671">
        <f t="shared" si="67"/>
        <v>0</v>
      </c>
      <c r="AB96" s="671">
        <f t="shared" si="67"/>
        <v>0</v>
      </c>
      <c r="AC96" s="671">
        <f t="shared" si="67"/>
        <v>3304010.8333333335</v>
      </c>
      <c r="AD96" s="672"/>
      <c r="AE96" s="675"/>
      <c r="AF96" s="675"/>
      <c r="AG96" s="675"/>
      <c r="AH96" s="676"/>
      <c r="AI96" s="656"/>
      <c r="AJ96" s="675"/>
      <c r="AK96" s="675"/>
      <c r="AL96" s="675"/>
      <c r="AM96" s="675"/>
      <c r="AN96" s="675"/>
      <c r="AO96" s="675"/>
      <c r="AS96" s="1033" t="str">
        <f>C96</f>
        <v>(32) Total/average Primary Schools</v>
      </c>
      <c r="AT96" s="1033"/>
      <c r="AU96" s="677">
        <f>IF(ROUND(E96,5)=ROUND('Table 3a'!AC101,5),'Table 3a'!AC101,"Error 4.10.4")</f>
        <v>38845846.96</v>
      </c>
      <c r="AV96" s="677">
        <f>IF(ROUND(F96,5)=ROUND('Table 3a'!AJ101,5),'Table 3a'!AJ101,"Error 4.10.4")</f>
        <v>3367728.9000000004</v>
      </c>
      <c r="AW96" s="661"/>
      <c r="AX96" s="677">
        <f>IF(ROUND(H96,5)=ROUND('Table 3a'!AO101,5),'Table 3a'!AO101,"Error 4.10.4")</f>
        <v>0</v>
      </c>
      <c r="AY96" s="677">
        <f>IF(ROUND(I96,5)=ROUND('Table 3a'!AU101,5),'Table 3a'!AU101,"Error 4.10.4")</f>
        <v>2828199</v>
      </c>
      <c r="AZ96" s="677">
        <f>IF(ROUND(J96,5)=ROUND('Table 3a'!AX101,5),'Table 3a'!AX101,"Error 4.10.4")</f>
        <v>475811.8333333333</v>
      </c>
      <c r="BA96" s="677">
        <f>IF(ROUND(K96,5)=ROUND('Table 3a'!BC101,5),'Table 3a'!BC101,"Error 4.10.4")</f>
        <v>1125054</v>
      </c>
      <c r="BB96" s="677">
        <f>IF(ROUND(L96,5)=ROUND('Table 3a'!BI101,5),'Table 3a'!BI101,"Error 4.10.4")</f>
        <v>1000489.9999999999</v>
      </c>
      <c r="BC96" s="677">
        <f>IF(ROUND(M96,5)=ROUND('Table 3a'!BN101,5),'Table 3a'!BN101,"Error 4.10.4")</f>
        <v>3627177</v>
      </c>
      <c r="BD96" s="677">
        <f>IF(ROUND(N96,5)=ROUND('Table 3a'!BT101,5),'Table 3a'!BT101,"Error 4.10.4")</f>
        <v>6066955.166666667</v>
      </c>
      <c r="BE96" s="677">
        <f>IF(ROUND(O96,5)=ROUND('Table 3a'!BW101,5),'Table 3a'!BW101,"Error 4.10.4")</f>
        <v>0</v>
      </c>
      <c r="BF96" s="677">
        <f>IF(ROUND(P96,5)=ROUND('Table 3a'!BX101,5),'Table 3a'!BX101,"Error 4.10.4")</f>
        <v>59824</v>
      </c>
      <c r="BG96" s="677">
        <f>IF(ROUND(Q96,5)=ROUND('Table 3a'!BY101,5),'Table 3a'!BY101,"Error 4.10.4")</f>
        <v>57397086.85999998</v>
      </c>
      <c r="BH96" s="677">
        <f>IF(ROUND(R96,5)=ROUND('Table 3a'!AB101,5),'Table 3a'!AB101,"Error 4.10.4")</f>
        <v>18110.5</v>
      </c>
      <c r="BI96" s="678"/>
      <c r="BJ96" s="690"/>
      <c r="BK96" s="660">
        <f>IF(AND(U96="",$H$1&lt;&gt;"*"),"",IF(AND(U96="",$H$1="*"),"Error 1.1",IF(ISNUMBER(U96)=FALSE,"Error 1.2",IF(ABS(U96-'Table 1'!I13)&gt;1000,"Error 4.2.2",""))))</f>
      </c>
      <c r="BL96" s="660">
        <f>IF(AND(V96="",$H$1&lt;&gt;"*"),"",IF(AND(V96="",$H$1="*"),"Error 1.1",IF(ISNUMBER(V96)=FALSE,"Error 1.2",IF(ABS(V96-'Table 1'!I15)&gt;1000,"Error 4.3.1",""))))</f>
      </c>
      <c r="BM96" s="663"/>
      <c r="BN96" s="660">
        <f>IF(AND(X96="",$H$1&lt;&gt;"*"),"",IF(AND(X96="",$H$1="*"),"Error 1.1",IF(ISNUMBER(X96)=FALSE,"Error 1.2",IF(ABS(X96+Y96)&gt;('Table 1'!I17+1000),"Error 4.4.2",""))))</f>
      </c>
      <c r="BO96" s="660">
        <f>IF(AND(Y96="",$H$1&lt;&gt;"*"),"",IF(AND(Y96="",$H$1="*"),"Error 1.1",IF(ISNUMBER(Y96)=FALSE,"Error 1.2",IF(ABS(X96+Y96)&gt;('Table 1'!I17+1000),"Error 4.4.2",""))))</f>
      </c>
      <c r="BP96" s="660">
        <f>IF(AND(Z96="",$H$1&lt;&gt;"*"),"",IF(AND(Z96="",$H$1="*"),"Error 1.1",IF(ISNUMBER(Z96)=FALSE,"Error 1.2",IF(ABS(Z96)&gt;('Table 1'!I18+1000),"Error 4.5.2",""))))</f>
      </c>
      <c r="BQ96" s="660">
        <f>IF(AND(AA96="",$H$1&lt;&gt;"*"),"",IF(AND(AA96="",$H$1="*"),"Error 1.1",IF(ISNUMBER(AA96)=FALSE,"Error 1.2",IF(ABS(AA96)&gt;('Table 1'!I19+1000),"Error 4.6.2",""))))</f>
      </c>
      <c r="BR96" s="660">
        <f>IF(AND(AB96="",$H$1&lt;&gt;"*"),"",IF(AND(AB96="",$H$1="*"),"Error 1.1",IF(ISNUMBER(AB96)=FALSE,"Error 1.2",IF(ABS(AB96)&gt;('Table 1'!I22+1000),"Error 4.12.2",""))))</f>
      </c>
      <c r="BS96" s="256"/>
      <c r="BT96" s="256"/>
      <c r="BW96" s="605">
        <f>IF(OR(LEFT(AU96,1)="E",LEFT(AV96,1)="E",LEFT(AW96,1)="E",LEFT(AX96,1)="E",LEFT(AY96,1)="E",LEFT(AZ96,1)="E",LEFT(BA96,1)="E",LEFT(BB96,1)="E",LEFT(BC96,1)="E",LEFT(BD96,1)="E",LEFT(BE96,1)="E",LEFT(BF96,1)="E",LEFT(BG96,1)="E",LEFT(BH96,1)="E",LEFT(BK96,1)="E",LEFT(BL96,1)="E",LEFT(BM96,1)="E",LEFT(BN96,1)="E",LEFT(BO96,1)="E",LEFT(BP96,1)="E",LEFT(BQ96,1)="E",LEFT(BR96,1)="E"),1,0)</f>
        <v>0</v>
      </c>
      <c r="CA96" s="665"/>
      <c r="CB96" s="665"/>
      <c r="CC96" s="666"/>
      <c r="DG96" s="3">
        <f t="shared" si="65"/>
        <v>0</v>
      </c>
    </row>
    <row r="97" spans="23:111" ht="13.5" thickTop="1">
      <c r="W97" s="52"/>
      <c r="AI97" s="118"/>
      <c r="BJ97" s="664"/>
      <c r="BL97" s="15"/>
      <c r="BM97" s="154"/>
      <c r="BQ97" s="15"/>
      <c r="BT97" s="15"/>
      <c r="CA97" s="665"/>
      <c r="CB97" s="665"/>
      <c r="CC97" s="666"/>
      <c r="DG97" s="3">
        <f t="shared" si="65"/>
        <v>0</v>
      </c>
    </row>
    <row r="98" spans="3:111" ht="12.75">
      <c r="C98" s="667" t="s">
        <v>646</v>
      </c>
      <c r="D98" s="667"/>
      <c r="W98" s="52"/>
      <c r="AI98" s="118"/>
      <c r="AS98" s="667" t="str">
        <f>C98</f>
        <v>Secondary Schools</v>
      </c>
      <c r="AT98" s="667"/>
      <c r="BJ98" s="680"/>
      <c r="BL98" s="15"/>
      <c r="BM98" s="154"/>
      <c r="BQ98" s="15"/>
      <c r="BT98" s="15"/>
      <c r="CA98" s="665"/>
      <c r="CB98" s="665"/>
      <c r="CC98" s="666"/>
      <c r="DG98" s="3">
        <f t="shared" si="65"/>
        <v>0</v>
      </c>
    </row>
    <row r="99" spans="2:111" ht="12.75">
      <c r="B99" s="645">
        <f>IF('Table 3a'!B106="","",'Table 3a'!B106)</f>
        <v>5</v>
      </c>
      <c r="C99" s="644" t="str">
        <f>IF('Table 3a'!C106="","",'Table 3a'!C106)</f>
        <v>Specialist College for the Performing Arts, Languages and Training</v>
      </c>
      <c r="D99" s="645">
        <f>IF('Table 3a'!D106="","",'Table 3a'!D106)</f>
        <v>4012</v>
      </c>
      <c r="E99" s="646">
        <f>IF('Table 3a'!AC106="","",'Table 3a'!AC106)</f>
        <v>2846556.71</v>
      </c>
      <c r="F99" s="646">
        <f>IF('Table 3a'!AJ106="","",'Table 3a'!AJ106)</f>
        <v>0</v>
      </c>
      <c r="G99" s="646">
        <f>IF('Table 3a'!AL106="","",'Table 3a'!AL106)</f>
        <v>0</v>
      </c>
      <c r="H99" s="646">
        <f>IF('Table 3a'!AO106="","",'Table 3a'!AO106)</f>
        <v>0</v>
      </c>
      <c r="I99" s="646">
        <f>IF('Table 3a'!AU106="","",'Table 3a'!AU106)</f>
        <v>767177</v>
      </c>
      <c r="J99" s="646">
        <f>IF('Table 3a'!AX106="","",'Table 3a'!AX106)</f>
        <v>43941</v>
      </c>
      <c r="K99" s="646">
        <f>IF('Table 3a'!BC106="","",'Table 3a'!BC106)</f>
        <v>103876</v>
      </c>
      <c r="L99" s="646">
        <f>IF('Table 3a'!BI106="","",'Table 3a'!BI106)</f>
        <v>60556</v>
      </c>
      <c r="M99" s="646">
        <f>IF('Table 3a'!BN106="","",'Table 3a'!BN106)</f>
        <v>291103</v>
      </c>
      <c r="N99" s="646">
        <f>IF('Table 3a'!BT106="","",'Table 3a'!BT106)</f>
        <v>255352</v>
      </c>
      <c r="O99" s="646">
        <f>IF('Table 3a'!BW106="","",'Table 3a'!BW106)</f>
        <v>0</v>
      </c>
      <c r="P99" s="646">
        <f>IF('Table 3a'!BX106="","",'Table 3a'!BX106)</f>
        <v>0</v>
      </c>
      <c r="Q99" s="646">
        <f aca="true" t="shared" si="68" ref="Q99:Q110">SUM(E99,F99,G99,H99,I99,J99,K99,L99,M99,N99,O99,P99)</f>
        <v>4368561.71</v>
      </c>
      <c r="R99" s="646">
        <f>IF('Table 3a'!AB106="","",'Table 3a'!AB106)</f>
        <v>941</v>
      </c>
      <c r="S99" s="646">
        <f aca="true" t="shared" si="69" ref="S99:S110">IF(R99=0,0,IF(ISERROR(Q99/R99),0,Q99/R99))</f>
        <v>4642.467279489904</v>
      </c>
      <c r="T99" s="649" t="s">
        <v>642</v>
      </c>
      <c r="U99" s="649">
        <v>140341.36787854542</v>
      </c>
      <c r="V99" s="649">
        <v>72148</v>
      </c>
      <c r="W99" s="651"/>
      <c r="X99" s="649">
        <v>96079</v>
      </c>
      <c r="Y99" s="649">
        <v>276291</v>
      </c>
      <c r="Z99" s="649">
        <v>16760</v>
      </c>
      <c r="AA99" s="649">
        <v>0</v>
      </c>
      <c r="AB99" s="649">
        <v>0</v>
      </c>
      <c r="AC99" s="649">
        <f aca="true" t="shared" si="70" ref="AC99:AC110">+I99+J99</f>
        <v>811118</v>
      </c>
      <c r="AD99" s="646">
        <f>IF('Table 3a'!AA106="","",'Table 3a'!AA106)</f>
        <v>0</v>
      </c>
      <c r="AE99" s="652"/>
      <c r="AF99" s="653"/>
      <c r="AG99" s="654"/>
      <c r="AH99" s="655"/>
      <c r="AI99" s="656"/>
      <c r="AJ99" s="657"/>
      <c r="AK99" s="658"/>
      <c r="AL99" s="658"/>
      <c r="AM99" s="658"/>
      <c r="AN99" s="657"/>
      <c r="AO99" s="658"/>
      <c r="AP99" s="658"/>
      <c r="AQ99" s="658"/>
      <c r="AR99" s="682"/>
      <c r="AS99" s="660">
        <f aca="true" t="shared" si="71" ref="AS99:AS110">IF(OR(OR(AND(C99="",D99&lt;&gt;""),AND(C99&lt;&gt;"",D99="")),AND(OR(SUM(Q99)&lt;&gt;0,SUM(R99)&lt;&gt;0,AND(U99&lt;&gt;"",U99&lt;&gt;0),AND(V99&lt;&gt;"",V99&lt;&gt;0),AND(W99&lt;&gt;"",W99&lt;&gt;0),AND(X99&lt;&gt;"",X99&lt;&gt;0),AND(Y99&lt;&gt;"",Y99&lt;&gt;0),AND(Z99&lt;&gt;"",Z99&lt;&gt;0),AND(AA99&lt;&gt;"",AA99&lt;&gt;0),AND(AB99&lt;&gt;"",AB99&lt;&gt;0),AND(AC99&lt;&gt;"",AC99&lt;&gt;0),AND(AD99&lt;&gt;"",AD99&lt;&gt;0),AE99&lt;&gt;"",AF99&lt;&gt;""),OR(C99="",D99=""))),"Error 2.11",IF(LEFT(C99,11)="Situated at","Error 2.12",""))</f>
      </c>
      <c r="AT99" s="660">
        <f>IF(OR(OR(AND(C99="",D99&lt;&gt;""),AND(C99&lt;&gt;"",D99="")),AND(OR(SUM(Q99)&lt;&gt;0,SUM(R99)&lt;&gt;0,AND(U99&lt;&gt;"",U99&lt;&gt;0),AND(V99&lt;&gt;"",V99&lt;&gt;0),AND(W99&lt;&gt;"",W99&lt;&gt;0),AND(X99&lt;&gt;"",X99&lt;&gt;0),AND(Y99&lt;&gt;"",Y99&lt;&gt;0),AND(Z99&lt;&gt;"",Z99&lt;&gt;0),AND(AA99&lt;&gt;"",AA99&lt;&gt;0),AND(AB99&lt;&gt;"",AB99&lt;&gt;0),AND(AC99&lt;&gt;"",AC99&lt;&gt;0),AND(AD99&lt;&gt;"",AD99&lt;&gt;0),AE99&lt;&gt;"",AF99&lt;&gt;""),OR(C99="",D99=""))),"Error 2.11",IF(AND(C99&lt;&gt;"",ISNUMBER(D99)=FALSE),"Error 1.2",IF(AND(C99&lt;&gt;"",'Table 3a'!D100-INT('Table 3a'!D100)&lt;&gt;0),"Error 2.1",IF(AND(C99&lt;&gt;"",OR(D99&lt;4000,AND(D99&gt;4899,D99&lt;5400),AND(D99&gt;5499,D99&lt;5900),D99&gt;5939)),"Error 2.4",IF(AND(C99&lt;&gt;"",COUNTIF(startdfes:enddfes,D99)&gt;1),"Warning 1.2","")))))</f>
      </c>
      <c r="AU99" s="660">
        <f>IF(AND(OR(E99="",E99=0),C99="",D99=""),"",IF(AND(OR(C99&lt;&gt;"",D99&lt;&gt;""),E99=""),"Error 4.10.2",IF(AND(E99&lt;&gt;"",ISNUMBER(E99)=FALSE),"Error 1.2",IF(E99&lt;=0,"Error 1.4",IF('Table 3a'!AC106&lt;&gt;'Table 3a'!CA106,"Warning 2.7","")))))</f>
      </c>
      <c r="AV99" s="660">
        <f aca="true" t="shared" si="72" ref="AV99:AV110">IF(AND(OR(F99="",F99=0),C99="",D99=""),"",IF(AND(OR(C99&lt;&gt;"",D99&lt;&gt;""),F99=""),"Error 4.10.2",IF(AND(F99&lt;&gt;"",ISNUMBER(F99)=FALSE),"Error 1.2",IF(F99&lt;0,"Error 1.3",""))))</f>
      </c>
      <c r="AW99" s="660">
        <f aca="true" t="shared" si="73" ref="AW99:AW110">IF(AND(OR(G99="",G99=0),C99="",D99=""),"",IF(AND(OR(C99&lt;&gt;"",D99&lt;&gt;""),G99=""),"Error 4.10.2",IF(AND(G99&lt;&gt;"",ISNUMBER(G99)=FALSE),"Error 1.2",IF(G99&lt;0,"Error 1.3",IF(AND(AD99&lt;&gt;"",AD99&gt;0,OR(G99="",G99=0)),"Error 3.5.2","")))))</f>
      </c>
      <c r="AX99" s="660">
        <f aca="true" t="shared" si="74" ref="AX99:AX110">IF(AND(OR(H99="",H99=0),C99="",D99=""),"",IF(AND(OR(C99&lt;&gt;"",D99&lt;&gt;""),H99=""),"Error 4.10.2",IF(AND(H99&lt;&gt;"",ISNUMBER(H99)=FALSE),"Error 1.2",IF(H99&lt;0,"Error 1.3",""))))</f>
      </c>
      <c r="AY99" s="660">
        <f aca="true" t="shared" si="75" ref="AY99:AY110">IF(AND(OR(I99="",I99=0),C99="",D99=""),"",IF(AND(OR(C99&lt;&gt;"",D99&lt;&gt;""),I99=""),"Error 4.10.2",IF(AND(I99&lt;&gt;"",ISNUMBER(I99)=FALSE),"Error 1.2",IF(I99=0,"Warning 2.4",IF(I99&lt;0,"Error 1.3","")))))</f>
      </c>
      <c r="AZ99" s="660">
        <f aca="true" t="shared" si="76" ref="AZ99:AZ110">IF(AND(OR(J99="",J99=0),C99="",D99=""),"",IF(AND(OR(C99&lt;&gt;"",D99&lt;&gt;""),J99=""),"Error 4.10.2",IF(AND(J99&lt;&gt;"",ISNUMBER(J99)=FALSE),"Error 1.2",IF(J99&lt;0,"Error 1.3",""))))</f>
      </c>
      <c r="BA99" s="660">
        <f aca="true" t="shared" si="77" ref="BA99:BA110">IF(AND(OR(K99="",K99=0),C99="",D99=""),"",IF(AND(OR(C99&lt;&gt;"",D99&lt;&gt;""),K99=""),"Error 4.10.2",IF(AND(K99&lt;&gt;"",ISNUMBER(K99)=FALSE),"Error 1.2",IF(K99&lt;0,"Error 1.3",""))))</f>
      </c>
      <c r="BB99" s="660">
        <f aca="true" t="shared" si="78" ref="BB99:BB110">IF(AND(OR(L99="",L99=0),C99="",D99=""),"",IF(AND(OR(C99&lt;&gt;"",D99&lt;&gt;""),L99=""),"Error 4.10.2",IF(AND(L99&lt;&gt;"",ISNUMBER(L99)=FALSE),"Error 1.2",IF(L99&lt;0,"Error 1.3",""))))</f>
      </c>
      <c r="BC99" s="660">
        <f aca="true" t="shared" si="79" ref="BC99:BC110">IF(AND(OR(M99="",M99=0),C99="",D99=""),"",IF(AND(OR(C99&lt;&gt;"",D99&lt;&gt;""),M99=""),"Error 4.10.2",IF(AND(M99&lt;&gt;"",ISNUMBER(M99)=FALSE),"Error 1.2",IF(M99&lt;0,"Error 1.3",""))))</f>
      </c>
      <c r="BD99" s="660">
        <f aca="true" t="shared" si="80" ref="BD99:BD110">IF(AND(OR(N99="",N99=0),C99="",D99=""),"",IF(AND(OR(C99&lt;&gt;"",D99&lt;&gt;""),N99=""),"Error 4.10.2",IF(AND(N99&lt;&gt;"",ISNUMBER(N99)=FALSE),"Error 1.2",IF(N99&lt;0,"Error 1.3",""))))</f>
      </c>
      <c r="BE99" s="660">
        <f aca="true" t="shared" si="81" ref="BE99:BE110">IF(AND(OR(O99="",O99=0),C99="",D99=""),"",IF(AND(OR(C99&lt;&gt;"",D99&lt;&gt;""),O99=""),"Error 4.10.2",IF(AND(O99&lt;&gt;"",ISNUMBER(O99)=FALSE),"Error 1.2","")))</f>
      </c>
      <c r="BF99" s="660">
        <f aca="true" t="shared" si="82" ref="BF99:BF110">IF(AND(OR(P99="",P99=0),C99="",D99=""),"",IF(AND(OR(C99&lt;&gt;"",D99&lt;&gt;""),P99=""),"Error 1.1",IF(AND(P99&lt;&gt;"",ISNUMBER(P99)=FALSE),"Error 1.2",IF(P99&lt;0,"Error 1.3",""))))</f>
      </c>
      <c r="BG99" s="660">
        <f>IF(AND(OR(Q99="",Q99=0),C99="",D99=""),"",IF(AND(OR(C99&lt;&gt;"",D99&lt;&gt;""),Q99=""),"Error 4.10.2",IF(AND(Q99&lt;&gt;"",ISNUMBER(Q99)=FALSE),"Error 1.2",IF(AND(OR(Q99&lt;10000,Q99&gt;15000000)),"Error 3.2.2",IF(ABS(('Table 3a'!BY106*2)-'Table 3a'!BZ106)&gt;50,"Error 3.7","")))))</f>
      </c>
      <c r="BH99" s="660">
        <f aca="true" t="shared" si="83" ref="BH99:BH110">IF(AND(OR(R99="",R99=0),C99="",D99=""),"",IF(AND(OR(C99&lt;&gt;"",D99&lt;&gt;""),R99=""),"Error 4.10.2",IF(AND(R99&lt;&gt;"",ISNUMBER(R99)=FALSE),"Error 1.2",IF(OR(R99&lt;1,R99&gt;5999),"Error 2.7",""))))</f>
      </c>
      <c r="BI99" s="660">
        <f aca="true" t="shared" si="84" ref="BI99:BI110">IF(AND(OR(S99="",S99=0),C99="",D99=""),"",IF(AND(OR(C99&lt;&gt;"",D99&lt;&gt;""),S99=""),"Error 4.10.2",IF(AND(S99&lt;&gt;"",ISNUMBER(S99)=FALSE),"Error 1.2",IF(S99&lt;=0,"Error 1.4",""))))</f>
      </c>
      <c r="BJ99" s="660">
        <f aca="true" t="shared" si="85" ref="BJ99:BJ110">IF(AND(T99="",C99="",D99=""),"",IF(AND(T99="",$H$1&lt;&gt;"*"),"",IF(AND(OR(C99&lt;&gt;"",D99&lt;&gt;""),AND(T99="",$H$1="*")),"Error 1.1",IF(AND(OR(C99&lt;&gt;"",D99&lt;&gt;""),AND(T99="",$H$1="*")),"Error 1.1",IF(AND(AND(T99&lt;&gt;"School Forum",T99&lt;&gt;"Secretary Of State",T99&lt;&gt;"No Variation Applied"),OR(C99&lt;&gt;"",D99&lt;&gt;"")),"Error 3.9",IF(AND(OR(T99="School Forum",T99="Secretary Of State"),($DG$187="NO")),"Warning 2.6",""))))))</f>
      </c>
      <c r="BK99" s="660">
        <f aca="true" t="shared" si="86" ref="BK99:BK110">IF(AND(U99="",C99="",D99=""),"",IF(AND(U99="",$H$1&lt;&gt;"*"),"",IF(AND(OR(C99&lt;&gt;"",D99&lt;&gt;""),AND(U99="",$H$1="*")),"Error 1.1",IF(AND(U99&lt;&gt;"",ISNUMBER(U99)=FALSE),"Error 1.2",IF(U99&lt;0,"Error 1.3",IF(U99&gt;=1000000,"Error 3.4.1",""))))))</f>
      </c>
      <c r="BL99" s="660">
        <f aca="true" t="shared" si="87" ref="BL99:BL110">IF(AND(V99="",C99="",D99=""),"",IF(AND(V99="",$H$1&lt;&gt;"*"),"",IF(AND(OR(C99&lt;&gt;"",D99&lt;&gt;""),AND(V99="",$H$1="*")),"Error 1.1",IF(AND(V99&lt;&gt;"",ISNUMBER(V99)=FALSE),"Error 1.2",IF(V99&lt;0,"Error 1.3",IF(V99&gt;=500000,"Error 3.4.2",""))))))</f>
      </c>
      <c r="BM99" s="663"/>
      <c r="BN99" s="660">
        <f aca="true" t="shared" si="88" ref="BN99:BN110">IF(AND(X99="",C99="",D99=""),"",IF(AND(X99="",$H$1&lt;&gt;"*"),"",IF(AND(OR(C99&lt;&gt;"",D99&lt;&gt;""),AND(X99="",$H$1="*")),"Error 1.1",IF(AND(X99&lt;&gt;"",ISNUMBER(X99)=FALSE),"Error 1.2",IF(X99&lt;0,"Error 1.3",IF(X99&gt;=3000000,"Error 3.4.3",""))))))</f>
      </c>
      <c r="BO99" s="660">
        <f aca="true" t="shared" si="89" ref="BO99:BO110">IF(AND(Y99="",C99="",D99=""),"",IF(AND(Y99="",$H$1&lt;&gt;"*"),"",IF(AND(OR(C99&lt;&gt;"",D99&lt;&gt;""),AND(Y99="",$H$1="*")),"Error 1.1",IF(AND(Y99&lt;&gt;"",ISNUMBER(Y99)=FALSE),"Error 1.2",IF(Y99&lt;0,"Error 1.3",IF(Y99&gt;=3000000,"Error 3.4.3",""))))))</f>
      </c>
      <c r="BP99" s="660">
        <f aca="true" t="shared" si="90" ref="BP99:BP110">IF(AND(Z99="",C99="",D99=""),"",IF(AND(Z99="",$H$1&lt;&gt;"*"),"",IF(AND(OR(C99&lt;&gt;"",D99&lt;&gt;""),AND(Z99="",$H$1="*")),"Error 1.1",IF(AND(Z99&lt;&gt;"",ISNUMBER(Z99)=FALSE),"Error 1.2",IF(Z99&lt;0,"Error 1.3",IF(Z99&gt;=1000000,"Error 3.4.4",""))))))</f>
      </c>
      <c r="BQ99" s="660">
        <f aca="true" t="shared" si="91" ref="BQ99:BQ110">IF(AND(AA99="",C99="",D99=""),"",IF(AND(AA99="",$H$1&lt;&gt;"*"),"",IF(AND(OR(C99&lt;&gt;"",D99&lt;&gt;""),AND(AA99="",$H$1="*")),"Error 1.1",IF(AND(AA99&lt;&gt;"",ISNUMBER(AA99)=FALSE),"Error 1.2",IF(AA99&lt;0,"Error 1.3",IF(AA99&gt;=1000000,"Error 3.4.5",""))))))</f>
      </c>
      <c r="BR99" s="660">
        <f aca="true" t="shared" si="92" ref="BR99:BR110">IF(AND(AB99="",C99="",D99=""),"",IF(AND(AB99="",$H$1&lt;&gt;"*"),"",IF(AND(OR(C99&lt;&gt;"",D99&lt;&gt;""),AND(AB99="",$H$1="*")),"Error 1.1",IF(AND(AB99&lt;&gt;"",ISNUMBER(AB99)=FALSE),"Error 1.2",IF(AB99&lt;0,"Error 1.3",IF(AB99&gt;=1000000,"Error 3.4.6",""))))))</f>
      </c>
      <c r="BS99" s="660">
        <f aca="true" t="shared" si="93" ref="BS99:BS110">IF(AND(AC99="",C99="",D99=""),"",IF(AND(AC99="",$H$1&lt;&gt;"*"),"",IF(AND(OR(C99&lt;&gt;"",D99&lt;&gt;""),AND(AC99="",$H$1="*")),"Error 1.1",IF(AND(AC99&lt;&gt;"",ISNUMBER(AC99)=FALSE),"Error 1.2",IF(AC99&lt;=0,"Error 1.4",IF(BX99&lt;&gt;"",BX99,""))))))</f>
      </c>
      <c r="BT99" s="660">
        <f aca="true" t="shared" si="94" ref="BT99:BT110">IF(AND(AD99="",C99="",D99=""),"",IF(AND(AD99="",$H$1&lt;&gt;"*"),"",IF(AND(OR(C99&lt;&gt;"",D99&lt;&gt;""),AND(AD99="",$H$1="*")),"Error 1.1",IF(AND(AD99&lt;&gt;"",ISNUMBER(AD99)=FALSE),"Error 1.2",IF(AD99&lt;0,"Error 1.3",IF(AND(G99&lt;&gt;"",G99&gt;0,OR(AD99="",AD99=0)),"Error 3.5.1",""))))))</f>
      </c>
      <c r="BU99" s="660">
        <f aca="true" t="shared" si="95" ref="BU99:BU110">IF(AND(AE99&lt;&gt;"",UPPER(AE99)&lt;&gt;"C",UPPER(AE99)&lt;&gt;"O"),"Error 2.8","")</f>
      </c>
      <c r="BV99" s="660">
        <f aca="true" t="shared" si="96" ref="BV99:BV110">IF(AND(AE99="",AF99=""),"",IF(AND(AE99&lt;&gt;"",AF99=""),"Error 2.9.1",IF(AND(AE99="",AF99&lt;&gt;""),"Error 2.9.1",IF(ISNUMBER(AF99)&lt;&gt;TRUE,"Error 2.9.1",IF(AND(AE99&lt;&gt;"",R99&gt;0,(OR(AF99&lt;DATE(2010,4,1),AF99&gt;DATE(2011,3,31)))),"Error 2.10.2","")))))</f>
      </c>
      <c r="BW99" s="605">
        <f aca="true" t="shared" si="97" ref="BW99:BW110">IF(LEN(TRIM(AS99&amp;AT99&amp;AU99&amp;AV99&amp;AW99&amp;AX99&amp;AY99&amp;AZ99&amp;BA99&amp;BB99&amp;BC99&amp;BD99&amp;BE99&amp;BF99&amp;BG99&amp;BH99&amp;BI99&amp;BJ99&amp;BK99&amp;BL99&amp;BM99&amp;BN99&amp;BO99&amp;BP99&amp;BQ99&amp;BR99&amp;BS99&amp;BT99&amp;BU99&amp;BV99))&gt;0,1,0)</f>
        <v>0</v>
      </c>
      <c r="BX99" s="660">
        <f aca="true" t="shared" si="98" ref="BX99:BX110">IF(AND(AC99&lt;&gt;"",AC99&gt;=Q99),"Error 3.3.1",IF(AND(AC99&lt;&gt;"",AC99&lt;SUM(I99,J99)),"Error 3.3.2",""))</f>
      </c>
      <c r="BY99" s="664"/>
      <c r="BZ99" s="664"/>
      <c r="CA99" s="665"/>
      <c r="CB99" s="665"/>
      <c r="CC99" s="666"/>
      <c r="DG99" s="3">
        <f>IF(LEFT(BJ111,1)="W",1,0)</f>
        <v>0</v>
      </c>
    </row>
    <row r="100" spans="2:81" ht="12.75">
      <c r="B100" s="645">
        <f>IF('Table 3a'!B107="","",'Table 3a'!B107)</f>
        <v>12</v>
      </c>
      <c r="C100" s="644" t="str">
        <f>IF('Table 3a'!C107="","",'Table 3a'!C107)</f>
        <v>Tudor Grange School</v>
      </c>
      <c r="D100" s="645">
        <f>IF('Table 3a'!D107="","",'Table 3a'!D107)</f>
        <v>4014</v>
      </c>
      <c r="E100" s="646">
        <f>IF('Table 3a'!AC107="","",'Table 3a'!AC107)</f>
        <v>3778625.1199999996</v>
      </c>
      <c r="F100" s="646">
        <f>IF('Table 3a'!AJ107="","",'Table 3a'!AJ107)</f>
        <v>0</v>
      </c>
      <c r="G100" s="646">
        <f>IF('Table 3a'!AL107="","",'Table 3a'!AL107)</f>
        <v>0</v>
      </c>
      <c r="H100" s="646">
        <f>IF('Table 3a'!AO107="","",'Table 3a'!AO107)</f>
        <v>0</v>
      </c>
      <c r="I100" s="646">
        <f>IF('Table 3a'!AU107="","",'Table 3a'!AU107)</f>
        <v>79174</v>
      </c>
      <c r="J100" s="646">
        <f>IF('Table 3a'!AX107="","",'Table 3a'!AX107)</f>
        <v>9112</v>
      </c>
      <c r="K100" s="646">
        <f>IF('Table 3a'!BC107="","",'Table 3a'!BC107)</f>
        <v>60357</v>
      </c>
      <c r="L100" s="646">
        <f>IF('Table 3a'!BI107="","",'Table 3a'!BI107)</f>
        <v>28121</v>
      </c>
      <c r="M100" s="646">
        <f>IF('Table 3a'!BN107="","",'Table 3a'!BN107)</f>
        <v>322220</v>
      </c>
      <c r="N100" s="646">
        <f>IF('Table 3a'!BT107="","",'Table 3a'!BT107)</f>
        <v>263614</v>
      </c>
      <c r="O100" s="646">
        <f>IF('Table 3a'!BW107="","",'Table 3a'!BW107)</f>
        <v>0</v>
      </c>
      <c r="P100" s="646">
        <f>IF('Table 3a'!BX107="","",'Table 3a'!BX107)</f>
        <v>0</v>
      </c>
      <c r="Q100" s="646">
        <f t="shared" si="68"/>
        <v>4541223.119999999</v>
      </c>
      <c r="R100" s="646">
        <f>IF('Table 3a'!AB107="","",'Table 3a'!AB107)</f>
        <v>1248</v>
      </c>
      <c r="S100" s="646">
        <f t="shared" si="69"/>
        <v>3638.8005769230763</v>
      </c>
      <c r="T100" s="649" t="s">
        <v>642</v>
      </c>
      <c r="U100" s="649">
        <v>174240</v>
      </c>
      <c r="V100" s="649">
        <v>53753</v>
      </c>
      <c r="W100" s="651"/>
      <c r="X100" s="649">
        <v>102714</v>
      </c>
      <c r="Y100" s="649">
        <v>259707</v>
      </c>
      <c r="Z100" s="649">
        <v>16223</v>
      </c>
      <c r="AA100" s="649">
        <v>0</v>
      </c>
      <c r="AB100" s="649">
        <v>0</v>
      </c>
      <c r="AC100" s="649">
        <f t="shared" si="70"/>
        <v>88286</v>
      </c>
      <c r="AD100" s="646">
        <f>IF('Table 3a'!AA107="","",'Table 3a'!AA107)</f>
        <v>0</v>
      </c>
      <c r="AE100" s="652"/>
      <c r="AF100" s="653"/>
      <c r="AG100" s="654"/>
      <c r="AH100" s="655"/>
      <c r="AI100" s="656"/>
      <c r="AJ100" s="657"/>
      <c r="AK100" s="658"/>
      <c r="AL100" s="658"/>
      <c r="AM100" s="658"/>
      <c r="AN100" s="657"/>
      <c r="AO100" s="658"/>
      <c r="AP100" s="658"/>
      <c r="AQ100" s="658"/>
      <c r="AR100" s="682"/>
      <c r="AS100" s="660">
        <f t="shared" si="71"/>
      </c>
      <c r="AT100" s="660">
        <f>IF(OR(OR(AND(C100="",D100&lt;&gt;""),AND(C100&lt;&gt;"",D100="")),AND(OR(SUM(Q100)&lt;&gt;0,SUM(R100)&lt;&gt;0,AND(U100&lt;&gt;"",U100&lt;&gt;0),AND(V100&lt;&gt;"",V100&lt;&gt;0),AND(W100&lt;&gt;"",W100&lt;&gt;0),AND(X100&lt;&gt;"",X100&lt;&gt;0),AND(Y100&lt;&gt;"",Y100&lt;&gt;0),AND(Z100&lt;&gt;"",Z100&lt;&gt;0),AND(AA100&lt;&gt;"",AA100&lt;&gt;0),AND(AB100&lt;&gt;"",AB100&lt;&gt;0),AND(AC100&lt;&gt;"",AC100&lt;&gt;0),AND(AD100&lt;&gt;"",AD100&lt;&gt;0),AE100&lt;&gt;"",AF100&lt;&gt;""),OR(C100="",D100=""))),"Error 2.11",IF(AND(C100&lt;&gt;"",ISNUMBER(D100)=FALSE),"Error 1.2",IF(AND(C100&lt;&gt;"",'Table 3a'!D101-INT('Table 3a'!D101)&lt;&gt;0),"Error 2.1",IF(AND(C100&lt;&gt;"",OR(D100&lt;4000,AND(D100&gt;4899,D100&lt;5400),AND(D100&gt;5499,D100&lt;5900),D100&gt;5939)),"Error 2.4",IF(AND(C100&lt;&gt;"",COUNTIF(startdfes:enddfes,D100)&gt;1),"Warning 1.2","")))))</f>
      </c>
      <c r="AU100" s="660">
        <f>IF(AND(OR(E100="",E100=0),C100="",D100=""),"",IF(AND(OR(C100&lt;&gt;"",D100&lt;&gt;""),E100=""),"Error 4.10.2",IF(AND(E100&lt;&gt;"",ISNUMBER(E100)=FALSE),"Error 1.2",IF(E100&lt;=0,"Error 1.4",IF('Table 3a'!AC107&lt;&gt;'Table 3a'!CA107,"Warning 2.7","")))))</f>
      </c>
      <c r="AV100" s="660">
        <f t="shared" si="72"/>
      </c>
      <c r="AW100" s="660">
        <f t="shared" si="73"/>
      </c>
      <c r="AX100" s="660">
        <f t="shared" si="74"/>
      </c>
      <c r="AY100" s="660">
        <f t="shared" si="75"/>
      </c>
      <c r="AZ100" s="660">
        <f t="shared" si="76"/>
      </c>
      <c r="BA100" s="660">
        <f t="shared" si="77"/>
      </c>
      <c r="BB100" s="660">
        <f t="shared" si="78"/>
      </c>
      <c r="BC100" s="660">
        <f t="shared" si="79"/>
      </c>
      <c r="BD100" s="660">
        <f t="shared" si="80"/>
      </c>
      <c r="BE100" s="660">
        <f t="shared" si="81"/>
      </c>
      <c r="BF100" s="660">
        <f t="shared" si="82"/>
      </c>
      <c r="BG100" s="660">
        <f>IF(AND(OR(Q100="",Q100=0),C100="",D100=""),"",IF(AND(OR(C100&lt;&gt;"",D100&lt;&gt;""),Q100=""),"Error 4.10.2",IF(AND(Q100&lt;&gt;"",ISNUMBER(Q100)=FALSE),"Error 1.2",IF(AND(OR(Q100&lt;10000,Q100&gt;15000000)),"Error 3.2.2",IF(ABS(('Table 3a'!BY107*2)-'Table 3a'!BZ107)&gt;50,"Error 3.7","")))))</f>
      </c>
      <c r="BH100" s="660">
        <f t="shared" si="83"/>
      </c>
      <c r="BI100" s="660">
        <f t="shared" si="84"/>
      </c>
      <c r="BJ100" s="660">
        <f t="shared" si="85"/>
      </c>
      <c r="BK100" s="660">
        <f t="shared" si="86"/>
      </c>
      <c r="BL100" s="660">
        <f t="shared" si="87"/>
      </c>
      <c r="BM100" s="663"/>
      <c r="BN100" s="660">
        <f t="shared" si="88"/>
      </c>
      <c r="BO100" s="660">
        <f t="shared" si="89"/>
      </c>
      <c r="BP100" s="660">
        <f t="shared" si="90"/>
      </c>
      <c r="BQ100" s="660">
        <f t="shared" si="91"/>
      </c>
      <c r="BR100" s="660">
        <f t="shared" si="92"/>
      </c>
      <c r="BS100" s="660">
        <f t="shared" si="93"/>
      </c>
      <c r="BT100" s="660">
        <f t="shared" si="94"/>
      </c>
      <c r="BU100" s="660">
        <f t="shared" si="95"/>
      </c>
      <c r="BV100" s="660">
        <f t="shared" si="96"/>
      </c>
      <c r="BW100" s="605">
        <f t="shared" si="97"/>
        <v>0</v>
      </c>
      <c r="BX100" s="660">
        <f t="shared" si="98"/>
      </c>
      <c r="BY100" s="664"/>
      <c r="BZ100" s="664"/>
      <c r="CA100" s="665"/>
      <c r="CB100" s="665"/>
      <c r="CC100" s="666"/>
    </row>
    <row r="101" spans="2:81" ht="12.75">
      <c r="B101" s="645">
        <f>IF('Table 3a'!B108="","",'Table 3a'!B108)</f>
        <v>1</v>
      </c>
      <c r="C101" s="644" t="str">
        <f>IF('Table 3a'!C108="","",'Table 3a'!C108)</f>
        <v>Alderbrook Leading Edge School and Arts College</v>
      </c>
      <c r="D101" s="645">
        <f>IF('Table 3a'!D108="","",'Table 3a'!D108)</f>
        <v>4015</v>
      </c>
      <c r="E101" s="646">
        <f>IF('Table 3a'!AC108="","",'Table 3a'!AC108)</f>
        <v>3854645.55</v>
      </c>
      <c r="F101" s="646">
        <f>IF('Table 3a'!AJ108="","",'Table 3a'!AJ108)</f>
        <v>0</v>
      </c>
      <c r="G101" s="646">
        <f>IF('Table 3a'!AL108="","",'Table 3a'!AL108)</f>
        <v>0</v>
      </c>
      <c r="H101" s="646">
        <f>IF('Table 3a'!AO108="","",'Table 3a'!AO108)</f>
        <v>0</v>
      </c>
      <c r="I101" s="646">
        <f>IF('Table 3a'!AU108="","",'Table 3a'!AU108)</f>
        <v>612747</v>
      </c>
      <c r="J101" s="646">
        <f>IF('Table 3a'!AX108="","",'Table 3a'!AX108)</f>
        <v>24935</v>
      </c>
      <c r="K101" s="646">
        <f>IF('Table 3a'!BC108="","",'Table 3a'!BC108)</f>
        <v>107852</v>
      </c>
      <c r="L101" s="646">
        <f>IF('Table 3a'!BI108="","",'Table 3a'!BI108)</f>
        <v>55940</v>
      </c>
      <c r="M101" s="646">
        <f>IF('Table 3a'!BN108="","",'Table 3a'!BN108)</f>
        <v>332437</v>
      </c>
      <c r="N101" s="646">
        <f>IF('Table 3a'!BT108="","",'Table 3a'!BT108)</f>
        <v>265512</v>
      </c>
      <c r="O101" s="646">
        <f>IF('Table 3a'!BW108="","",'Table 3a'!BW108)</f>
        <v>0</v>
      </c>
      <c r="P101" s="646">
        <f>IF('Table 3a'!BX108="","",'Table 3a'!BX108)</f>
        <v>0</v>
      </c>
      <c r="Q101" s="646">
        <f t="shared" si="68"/>
        <v>5254068.55</v>
      </c>
      <c r="R101" s="646">
        <f>IF('Table 3a'!AB108="","",'Table 3a'!AB108)</f>
        <v>1275</v>
      </c>
      <c r="S101" s="646">
        <f t="shared" si="69"/>
        <v>4120.838078431372</v>
      </c>
      <c r="T101" s="649" t="s">
        <v>642</v>
      </c>
      <c r="U101" s="649">
        <v>182574.40066924866</v>
      </c>
      <c r="V101" s="649">
        <v>86865</v>
      </c>
      <c r="W101" s="651"/>
      <c r="X101" s="649">
        <v>112688</v>
      </c>
      <c r="Y101" s="649">
        <v>206199</v>
      </c>
      <c r="Z101" s="649">
        <v>14373</v>
      </c>
      <c r="AA101" s="649">
        <v>0</v>
      </c>
      <c r="AB101" s="649">
        <v>0</v>
      </c>
      <c r="AC101" s="649">
        <f t="shared" si="70"/>
        <v>637682</v>
      </c>
      <c r="AD101" s="646">
        <f>IF('Table 3a'!AA108="","",'Table 3a'!AA108)</f>
        <v>0</v>
      </c>
      <c r="AE101" s="652"/>
      <c r="AF101" s="653"/>
      <c r="AG101" s="654"/>
      <c r="AH101" s="655"/>
      <c r="AI101" s="656"/>
      <c r="AJ101" s="657"/>
      <c r="AK101" s="658"/>
      <c r="AL101" s="658"/>
      <c r="AM101" s="658"/>
      <c r="AN101" s="657"/>
      <c r="AO101" s="658"/>
      <c r="AP101" s="658"/>
      <c r="AQ101" s="658"/>
      <c r="AR101" s="682"/>
      <c r="AS101" s="660">
        <f t="shared" si="71"/>
      </c>
      <c r="AT101" s="660">
        <f>IF(OR(OR(AND(C101="",D101&lt;&gt;""),AND(C101&lt;&gt;"",D101="")),AND(OR(SUM(Q101)&lt;&gt;0,SUM(R101)&lt;&gt;0,AND(U101&lt;&gt;"",U101&lt;&gt;0),AND(V101&lt;&gt;"",V101&lt;&gt;0),AND(W101&lt;&gt;"",W101&lt;&gt;0),AND(X101&lt;&gt;"",X101&lt;&gt;0),AND(Y101&lt;&gt;"",Y101&lt;&gt;0),AND(Z101&lt;&gt;"",Z101&lt;&gt;0),AND(AA101&lt;&gt;"",AA101&lt;&gt;0),AND(AB101&lt;&gt;"",AB101&lt;&gt;0),AND(AC101&lt;&gt;"",AC101&lt;&gt;0),AND(AD101&lt;&gt;"",AD101&lt;&gt;0),AE101&lt;&gt;"",AF101&lt;&gt;""),OR(C101="",D101=""))),"Error 2.11",IF(AND(C101&lt;&gt;"",ISNUMBER(D101)=FALSE),"Error 1.2",IF(AND(C101&lt;&gt;"",'Table 3a'!D102-INT('Table 3a'!D102)&lt;&gt;0),"Error 2.1",IF(AND(C101&lt;&gt;"",OR(D101&lt;4000,AND(D101&gt;4899,D101&lt;5400),AND(D101&gt;5499,D101&lt;5900),D101&gt;5939)),"Error 2.4",IF(AND(C101&lt;&gt;"",COUNTIF(startdfes:enddfes,D101)&gt;1),"Warning 1.2","")))))</f>
      </c>
      <c r="AU101" s="660">
        <f>IF(AND(OR(E101="",E101=0),C101="",D101=""),"",IF(AND(OR(C101&lt;&gt;"",D101&lt;&gt;""),E101=""),"Error 4.10.2",IF(AND(E101&lt;&gt;"",ISNUMBER(E101)=FALSE),"Error 1.2",IF(E101&lt;=0,"Error 1.4",IF('Table 3a'!AC108&lt;&gt;'Table 3a'!CA108,"Warning 2.7","")))))</f>
      </c>
      <c r="AV101" s="660">
        <f t="shared" si="72"/>
      </c>
      <c r="AW101" s="660">
        <f t="shared" si="73"/>
      </c>
      <c r="AX101" s="660">
        <f t="shared" si="74"/>
      </c>
      <c r="AY101" s="660">
        <f t="shared" si="75"/>
      </c>
      <c r="AZ101" s="660">
        <f t="shared" si="76"/>
      </c>
      <c r="BA101" s="660">
        <f t="shared" si="77"/>
      </c>
      <c r="BB101" s="660">
        <f t="shared" si="78"/>
      </c>
      <c r="BC101" s="660">
        <f t="shared" si="79"/>
      </c>
      <c r="BD101" s="660">
        <f t="shared" si="80"/>
      </c>
      <c r="BE101" s="660">
        <f t="shared" si="81"/>
      </c>
      <c r="BF101" s="660">
        <f t="shared" si="82"/>
      </c>
      <c r="BG101" s="660">
        <f>IF(AND(OR(Q101="",Q101=0),C101="",D101=""),"",IF(AND(OR(C101&lt;&gt;"",D101&lt;&gt;""),Q101=""),"Error 4.10.2",IF(AND(Q101&lt;&gt;"",ISNUMBER(Q101)=FALSE),"Error 1.2",IF(AND(OR(Q101&lt;10000,Q101&gt;15000000)),"Error 3.2.2",IF(ABS(('Table 3a'!BY108*2)-'Table 3a'!BZ108)&gt;50,"Error 3.7","")))))</f>
      </c>
      <c r="BH101" s="660">
        <f t="shared" si="83"/>
      </c>
      <c r="BI101" s="660">
        <f t="shared" si="84"/>
      </c>
      <c r="BJ101" s="660">
        <f t="shared" si="85"/>
      </c>
      <c r="BK101" s="660">
        <f t="shared" si="86"/>
      </c>
      <c r="BL101" s="660">
        <f t="shared" si="87"/>
      </c>
      <c r="BM101" s="663"/>
      <c r="BN101" s="660">
        <f t="shared" si="88"/>
      </c>
      <c r="BO101" s="660">
        <f t="shared" si="89"/>
      </c>
      <c r="BP101" s="660">
        <f t="shared" si="90"/>
      </c>
      <c r="BQ101" s="660">
        <f t="shared" si="91"/>
      </c>
      <c r="BR101" s="660">
        <f t="shared" si="92"/>
      </c>
      <c r="BS101" s="660">
        <f t="shared" si="93"/>
      </c>
      <c r="BT101" s="660">
        <f t="shared" si="94"/>
      </c>
      <c r="BU101" s="660">
        <f t="shared" si="95"/>
      </c>
      <c r="BV101" s="660">
        <f t="shared" si="96"/>
      </c>
      <c r="BW101" s="605">
        <f t="shared" si="97"/>
        <v>0</v>
      </c>
      <c r="BX101" s="660">
        <f t="shared" si="98"/>
      </c>
      <c r="BY101" s="664"/>
      <c r="BZ101" s="664"/>
      <c r="CA101" s="665"/>
      <c r="CB101" s="665"/>
      <c r="CC101" s="666"/>
    </row>
    <row r="102" spans="2:81" ht="12.75">
      <c r="B102" s="645">
        <f>IF('Table 3a'!B109="","",'Table 3a'!B109)</f>
        <v>3</v>
      </c>
      <c r="C102" s="644" t="str">
        <f>IF('Table 3a'!C109="","",'Table 3a'!C109)</f>
        <v>Arden School</v>
      </c>
      <c r="D102" s="645">
        <f>IF('Table 3a'!D109="","",'Table 3a'!D109)</f>
        <v>4017</v>
      </c>
      <c r="E102" s="646">
        <f>IF('Table 3a'!AC109="","",'Table 3a'!AC109)</f>
        <v>3760678.26</v>
      </c>
      <c r="F102" s="646">
        <f>IF('Table 3a'!AJ109="","",'Table 3a'!AJ109)</f>
        <v>0</v>
      </c>
      <c r="G102" s="646">
        <f>IF('Table 3a'!AL109="","",'Table 3a'!AL109)</f>
        <v>1023491</v>
      </c>
      <c r="H102" s="646">
        <f>IF('Table 3a'!AO109="","",'Table 3a'!AO109)</f>
        <v>0</v>
      </c>
      <c r="I102" s="646">
        <f>IF('Table 3a'!AU109="","",'Table 3a'!AU109)</f>
        <v>90043</v>
      </c>
      <c r="J102" s="646">
        <f>IF('Table 3a'!AX109="","",'Table 3a'!AX109)</f>
        <v>14584</v>
      </c>
      <c r="K102" s="646">
        <f>IF('Table 3a'!BC109="","",'Table 3a'!BC109)</f>
        <v>54370</v>
      </c>
      <c r="L102" s="646">
        <f>IF('Table 3a'!BI109="","",'Table 3a'!BI109)</f>
        <v>18065</v>
      </c>
      <c r="M102" s="646">
        <f>IF('Table 3a'!BN109="","",'Table 3a'!BN109)</f>
        <v>288688</v>
      </c>
      <c r="N102" s="646">
        <f>IF('Table 3a'!BT109="","",'Table 3a'!BT109)</f>
        <v>308388</v>
      </c>
      <c r="O102" s="646">
        <f>IF('Table 3a'!BW109="","",'Table 3a'!BW109)</f>
        <v>-48848</v>
      </c>
      <c r="P102" s="646">
        <f>IF('Table 3a'!BX109="","",'Table 3a'!BX109)</f>
        <v>0</v>
      </c>
      <c r="Q102" s="646">
        <f t="shared" si="68"/>
        <v>5509459.26</v>
      </c>
      <c r="R102" s="646">
        <f>IF('Table 3a'!AB109="","",'Table 3a'!AB109)</f>
        <v>1354</v>
      </c>
      <c r="S102" s="646">
        <f t="shared" si="69"/>
        <v>4069.0245642540617</v>
      </c>
      <c r="T102" s="649" t="s">
        <v>642</v>
      </c>
      <c r="U102" s="649">
        <v>188870.88212291736</v>
      </c>
      <c r="V102" s="649">
        <v>36573</v>
      </c>
      <c r="W102" s="651"/>
      <c r="X102" s="649">
        <v>89392</v>
      </c>
      <c r="Y102" s="649">
        <v>344856</v>
      </c>
      <c r="Z102" s="649">
        <v>18422</v>
      </c>
      <c r="AA102" s="649">
        <v>0</v>
      </c>
      <c r="AB102" s="649">
        <v>0</v>
      </c>
      <c r="AC102" s="649">
        <f t="shared" si="70"/>
        <v>104627</v>
      </c>
      <c r="AD102" s="646">
        <f>IF('Table 3a'!AA109="","",'Table 3a'!AA109)</f>
        <v>112</v>
      </c>
      <c r="AE102" s="652"/>
      <c r="AF102" s="653"/>
      <c r="AG102" s="654"/>
      <c r="AH102" s="655"/>
      <c r="AI102" s="656"/>
      <c r="AJ102" s="657"/>
      <c r="AK102" s="658"/>
      <c r="AL102" s="658"/>
      <c r="AM102" s="658"/>
      <c r="AN102" s="657"/>
      <c r="AO102" s="658"/>
      <c r="AP102" s="658"/>
      <c r="AQ102" s="658"/>
      <c r="AR102" s="682"/>
      <c r="AS102" s="660">
        <f t="shared" si="71"/>
      </c>
      <c r="AT102" s="660">
        <f>IF(OR(OR(AND(C102="",D102&lt;&gt;""),AND(C102&lt;&gt;"",D102="")),AND(OR(SUM(Q102)&lt;&gt;0,SUM(R102)&lt;&gt;0,AND(U102&lt;&gt;"",U102&lt;&gt;0),AND(V102&lt;&gt;"",V102&lt;&gt;0),AND(W102&lt;&gt;"",W102&lt;&gt;0),AND(X102&lt;&gt;"",X102&lt;&gt;0),AND(Y102&lt;&gt;"",Y102&lt;&gt;0),AND(Z102&lt;&gt;"",Z102&lt;&gt;0),AND(AA102&lt;&gt;"",AA102&lt;&gt;0),AND(AB102&lt;&gt;"",AB102&lt;&gt;0),AND(AC102&lt;&gt;"",AC102&lt;&gt;0),AND(AD102&lt;&gt;"",AD102&lt;&gt;0),AE102&lt;&gt;"",AF102&lt;&gt;""),OR(C102="",D102=""))),"Error 2.11",IF(AND(C102&lt;&gt;"",ISNUMBER(D102)=FALSE),"Error 1.2",IF(AND(C102&lt;&gt;"",'Table 3a'!D103-INT('Table 3a'!D103)&lt;&gt;0),"Error 2.1",IF(AND(C102&lt;&gt;"",OR(D102&lt;4000,AND(D102&gt;4899,D102&lt;5400),AND(D102&gt;5499,D102&lt;5900),D102&gt;5939)),"Error 2.4",IF(AND(C102&lt;&gt;"",COUNTIF(startdfes:enddfes,D102)&gt;1),"Warning 1.2","")))))</f>
      </c>
      <c r="AU102" s="660">
        <f>IF(AND(OR(E102="",E102=0),C102="",D102=""),"",IF(AND(OR(C102&lt;&gt;"",D102&lt;&gt;""),E102=""),"Error 4.10.2",IF(AND(E102&lt;&gt;"",ISNUMBER(E102)=FALSE),"Error 1.2",IF(E102&lt;=0,"Error 1.4",IF('Table 3a'!AC109&lt;&gt;'Table 3a'!CA109,"Warning 2.7","")))))</f>
      </c>
      <c r="AV102" s="660">
        <f t="shared" si="72"/>
      </c>
      <c r="AW102" s="660">
        <f t="shared" si="73"/>
      </c>
      <c r="AX102" s="660">
        <f t="shared" si="74"/>
      </c>
      <c r="AY102" s="660">
        <f t="shared" si="75"/>
      </c>
      <c r="AZ102" s="660">
        <f t="shared" si="76"/>
      </c>
      <c r="BA102" s="660">
        <f t="shared" si="77"/>
      </c>
      <c r="BB102" s="660">
        <f t="shared" si="78"/>
      </c>
      <c r="BC102" s="660">
        <f t="shared" si="79"/>
      </c>
      <c r="BD102" s="660">
        <f t="shared" si="80"/>
      </c>
      <c r="BE102" s="660">
        <f t="shared" si="81"/>
      </c>
      <c r="BF102" s="660">
        <f t="shared" si="82"/>
      </c>
      <c r="BG102" s="660">
        <f>IF(AND(OR(Q102="",Q102=0),C102="",D102=""),"",IF(AND(OR(C102&lt;&gt;"",D102&lt;&gt;""),Q102=""),"Error 4.10.2",IF(AND(Q102&lt;&gt;"",ISNUMBER(Q102)=FALSE),"Error 1.2",IF(AND(OR(Q102&lt;10000,Q102&gt;15000000)),"Error 3.2.2",IF(ABS(('Table 3a'!BY109*2)-'Table 3a'!BZ109)&gt;50,"Error 3.7","")))))</f>
      </c>
      <c r="BH102" s="660">
        <f t="shared" si="83"/>
      </c>
      <c r="BI102" s="660">
        <f t="shared" si="84"/>
      </c>
      <c r="BJ102" s="660">
        <f t="shared" si="85"/>
      </c>
      <c r="BK102" s="660">
        <f t="shared" si="86"/>
      </c>
      <c r="BL102" s="660">
        <f t="shared" si="87"/>
      </c>
      <c r="BM102" s="663"/>
      <c r="BN102" s="660">
        <f t="shared" si="88"/>
      </c>
      <c r="BO102" s="660">
        <f t="shared" si="89"/>
      </c>
      <c r="BP102" s="660">
        <f t="shared" si="90"/>
      </c>
      <c r="BQ102" s="660">
        <f t="shared" si="91"/>
      </c>
      <c r="BR102" s="660">
        <f t="shared" si="92"/>
      </c>
      <c r="BS102" s="660">
        <f t="shared" si="93"/>
      </c>
      <c r="BT102" s="660">
        <f t="shared" si="94"/>
      </c>
      <c r="BU102" s="660">
        <f t="shared" si="95"/>
      </c>
      <c r="BV102" s="660">
        <f t="shared" si="96"/>
      </c>
      <c r="BW102" s="605">
        <f t="shared" si="97"/>
        <v>0</v>
      </c>
      <c r="BX102" s="660">
        <f t="shared" si="98"/>
      </c>
      <c r="BY102" s="664"/>
      <c r="BZ102" s="664"/>
      <c r="CA102" s="665"/>
      <c r="CB102" s="665"/>
      <c r="CC102" s="666"/>
    </row>
    <row r="103" spans="2:81" ht="12.75">
      <c r="B103" s="645">
        <f>IF('Table 3a'!B110="","",'Table 3a'!B110)</f>
        <v>6</v>
      </c>
      <c r="C103" s="644" t="str">
        <f>IF('Table 3a'!C110="","",'Table 3a'!C110)</f>
        <v>Specialist Mathematics and Computing College</v>
      </c>
      <c r="D103" s="645">
        <f>IF('Table 3a'!D110="","",'Table 3a'!D110)</f>
        <v>4018</v>
      </c>
      <c r="E103" s="646">
        <f>IF('Table 3a'!AC110="","",'Table 3a'!AC110)</f>
        <v>3733455.83</v>
      </c>
      <c r="F103" s="646">
        <f>IF('Table 3a'!AJ110="","",'Table 3a'!AJ110)</f>
        <v>0</v>
      </c>
      <c r="G103" s="646">
        <f>IF('Table 3a'!AL110="","",'Table 3a'!AL110)</f>
        <v>0</v>
      </c>
      <c r="H103" s="646">
        <f>IF('Table 3a'!AO110="","",'Table 3a'!AO110)</f>
        <v>0</v>
      </c>
      <c r="I103" s="646">
        <f>IF('Table 3a'!AU110="","",'Table 3a'!AU110)</f>
        <v>187948</v>
      </c>
      <c r="J103" s="646">
        <f>IF('Table 3a'!AX110="","",'Table 3a'!AX110)</f>
        <v>9112</v>
      </c>
      <c r="K103" s="646">
        <f>IF('Table 3a'!BC110="","",'Table 3a'!BC110)</f>
        <v>135995</v>
      </c>
      <c r="L103" s="646">
        <f>IF('Table 3a'!BI110="","",'Table 3a'!BI110)</f>
        <v>87570</v>
      </c>
      <c r="M103" s="646">
        <f>IF('Table 3a'!BN110="","",'Table 3a'!BN110)</f>
        <v>292097</v>
      </c>
      <c r="N103" s="646">
        <f>IF('Table 3a'!BT110="","",'Table 3a'!BT110)</f>
        <v>258579</v>
      </c>
      <c r="O103" s="646">
        <f>IF('Table 3a'!BW110="","",'Table 3a'!BW110)</f>
        <v>0</v>
      </c>
      <c r="P103" s="646">
        <f>IF('Table 3a'!BX110="","",'Table 3a'!BX110)</f>
        <v>0</v>
      </c>
      <c r="Q103" s="646">
        <f t="shared" si="68"/>
        <v>4704756.83</v>
      </c>
      <c r="R103" s="646">
        <f>IF('Table 3a'!AB110="","",'Table 3a'!AB110)</f>
        <v>1233</v>
      </c>
      <c r="S103" s="646">
        <f t="shared" si="69"/>
        <v>3815.69896999189</v>
      </c>
      <c r="T103" s="649" t="s">
        <v>642</v>
      </c>
      <c r="U103" s="649">
        <v>172290</v>
      </c>
      <c r="V103" s="649">
        <v>86334</v>
      </c>
      <c r="W103" s="651"/>
      <c r="X103" s="649">
        <v>90109</v>
      </c>
      <c r="Y103" s="649">
        <v>132225</v>
      </c>
      <c r="Z103" s="649">
        <v>11763</v>
      </c>
      <c r="AA103" s="649">
        <v>0</v>
      </c>
      <c r="AB103" s="649">
        <v>0</v>
      </c>
      <c r="AC103" s="649">
        <f t="shared" si="70"/>
        <v>197060</v>
      </c>
      <c r="AD103" s="646">
        <f>IF('Table 3a'!AA110="","",'Table 3a'!AA110)</f>
        <v>0</v>
      </c>
      <c r="AE103" s="652"/>
      <c r="AF103" s="653"/>
      <c r="AG103" s="654"/>
      <c r="AH103" s="655"/>
      <c r="AI103" s="656"/>
      <c r="AJ103" s="657"/>
      <c r="AK103" s="658"/>
      <c r="AL103" s="658"/>
      <c r="AM103" s="658"/>
      <c r="AN103" s="657"/>
      <c r="AO103" s="658"/>
      <c r="AP103" s="658"/>
      <c r="AQ103" s="658"/>
      <c r="AR103" s="682"/>
      <c r="AS103" s="660">
        <f t="shared" si="71"/>
      </c>
      <c r="AT103" s="660">
        <f>IF(OR(OR(AND(C103="",D103&lt;&gt;""),AND(C103&lt;&gt;"",D103="")),AND(OR(SUM(Q103)&lt;&gt;0,SUM(R103)&lt;&gt;0,AND(U103&lt;&gt;"",U103&lt;&gt;0),AND(V103&lt;&gt;"",V103&lt;&gt;0),AND(W103&lt;&gt;"",W103&lt;&gt;0),AND(X103&lt;&gt;"",X103&lt;&gt;0),AND(Y103&lt;&gt;"",Y103&lt;&gt;0),AND(Z103&lt;&gt;"",Z103&lt;&gt;0),AND(AA103&lt;&gt;"",AA103&lt;&gt;0),AND(AB103&lt;&gt;"",AB103&lt;&gt;0),AND(AC103&lt;&gt;"",AC103&lt;&gt;0),AND(AD103&lt;&gt;"",AD103&lt;&gt;0),AE103&lt;&gt;"",AF103&lt;&gt;""),OR(C103="",D103=""))),"Error 2.11",IF(AND(C103&lt;&gt;"",ISNUMBER(D103)=FALSE),"Error 1.2",IF(AND(C103&lt;&gt;"",'Table 3a'!D104-INT('Table 3a'!D104)&lt;&gt;0),"Error 2.1",IF(AND(C103&lt;&gt;"",OR(D103&lt;4000,AND(D103&gt;4899,D103&lt;5400),AND(D103&gt;5499,D103&lt;5900),D103&gt;5939)),"Error 2.4",IF(AND(C103&lt;&gt;"",COUNTIF(startdfes:enddfes,D103)&gt;1),"Warning 1.2","")))))</f>
      </c>
      <c r="AU103" s="660">
        <f>IF(AND(OR(E103="",E103=0),C103="",D103=""),"",IF(AND(OR(C103&lt;&gt;"",D103&lt;&gt;""),E103=""),"Error 4.10.2",IF(AND(E103&lt;&gt;"",ISNUMBER(E103)=FALSE),"Error 1.2",IF(E103&lt;=0,"Error 1.4",IF('Table 3a'!AC110&lt;&gt;'Table 3a'!CA110,"Warning 2.7","")))))</f>
      </c>
      <c r="AV103" s="660">
        <f t="shared" si="72"/>
      </c>
      <c r="AW103" s="660">
        <f t="shared" si="73"/>
      </c>
      <c r="AX103" s="660">
        <f t="shared" si="74"/>
      </c>
      <c r="AY103" s="660">
        <f t="shared" si="75"/>
      </c>
      <c r="AZ103" s="660">
        <f t="shared" si="76"/>
      </c>
      <c r="BA103" s="660">
        <f t="shared" si="77"/>
      </c>
      <c r="BB103" s="660">
        <f t="shared" si="78"/>
      </c>
      <c r="BC103" s="660">
        <f t="shared" si="79"/>
      </c>
      <c r="BD103" s="660">
        <f t="shared" si="80"/>
      </c>
      <c r="BE103" s="660">
        <f t="shared" si="81"/>
      </c>
      <c r="BF103" s="660">
        <f t="shared" si="82"/>
      </c>
      <c r="BG103" s="660">
        <f>IF(AND(OR(Q103="",Q103=0),C103="",D103=""),"",IF(AND(OR(C103&lt;&gt;"",D103&lt;&gt;""),Q103=""),"Error 4.10.2",IF(AND(Q103&lt;&gt;"",ISNUMBER(Q103)=FALSE),"Error 1.2",IF(AND(OR(Q103&lt;10000,Q103&gt;15000000)),"Error 3.2.2",IF(ABS(('Table 3a'!BY110*2)-'Table 3a'!BZ110)&gt;50,"Error 3.7","")))))</f>
      </c>
      <c r="BH103" s="660">
        <f t="shared" si="83"/>
      </c>
      <c r="BI103" s="660">
        <f t="shared" si="84"/>
      </c>
      <c r="BJ103" s="660">
        <f t="shared" si="85"/>
      </c>
      <c r="BK103" s="660">
        <f t="shared" si="86"/>
      </c>
      <c r="BL103" s="660">
        <f t="shared" si="87"/>
      </c>
      <c r="BM103" s="663"/>
      <c r="BN103" s="660">
        <f t="shared" si="88"/>
      </c>
      <c r="BO103" s="660">
        <f t="shared" si="89"/>
      </c>
      <c r="BP103" s="660">
        <f t="shared" si="90"/>
      </c>
      <c r="BQ103" s="660">
        <f t="shared" si="91"/>
      </c>
      <c r="BR103" s="660">
        <f t="shared" si="92"/>
      </c>
      <c r="BS103" s="660">
        <f t="shared" si="93"/>
      </c>
      <c r="BT103" s="660">
        <f t="shared" si="94"/>
      </c>
      <c r="BU103" s="660">
        <f t="shared" si="95"/>
      </c>
      <c r="BV103" s="660">
        <f t="shared" si="96"/>
      </c>
      <c r="BW103" s="605">
        <f t="shared" si="97"/>
        <v>0</v>
      </c>
      <c r="BX103" s="660">
        <f t="shared" si="98"/>
      </c>
      <c r="BY103" s="664"/>
      <c r="BZ103" s="664"/>
      <c r="CA103" s="665"/>
      <c r="CB103" s="665"/>
      <c r="CC103" s="666"/>
    </row>
    <row r="104" spans="2:81" ht="12.75">
      <c r="B104" s="645">
        <f>IF('Table 3a'!B111="","",'Table 3a'!B111)</f>
        <v>7</v>
      </c>
      <c r="C104" s="644" t="str">
        <f>IF('Table 3a'!C111="","",'Table 3a'!C111)</f>
        <v>Lode Heath School</v>
      </c>
      <c r="D104" s="645">
        <f>IF('Table 3a'!D111="","",'Table 3a'!D111)</f>
        <v>4019</v>
      </c>
      <c r="E104" s="646">
        <f>IF('Table 3a'!AC111="","",'Table 3a'!AC111)</f>
        <v>3149200.55</v>
      </c>
      <c r="F104" s="646">
        <f>IF('Table 3a'!AJ111="","",'Table 3a'!AJ111)</f>
        <v>0</v>
      </c>
      <c r="G104" s="646">
        <f>IF('Table 3a'!AL111="","",'Table 3a'!AL111)</f>
        <v>0</v>
      </c>
      <c r="H104" s="646">
        <f>IF('Table 3a'!AO111="","",'Table 3a'!AO111)</f>
        <v>0</v>
      </c>
      <c r="I104" s="646">
        <f>IF('Table 3a'!AU111="","",'Table 3a'!AU111)</f>
        <v>170717</v>
      </c>
      <c r="J104" s="646">
        <f>IF('Table 3a'!AX111="","",'Table 3a'!AX111)</f>
        <v>9112</v>
      </c>
      <c r="K104" s="646">
        <f>IF('Table 3a'!BC111="","",'Table 3a'!BC111)</f>
        <v>113358</v>
      </c>
      <c r="L104" s="646">
        <f>IF('Table 3a'!BI111="","",'Table 3a'!BI111)</f>
        <v>66108</v>
      </c>
      <c r="M104" s="646">
        <f>IF('Table 3a'!BN111="","",'Table 3a'!BN111)</f>
        <v>254250</v>
      </c>
      <c r="N104" s="646">
        <f>IF('Table 3a'!BT111="","",'Table 3a'!BT111)</f>
        <v>252216</v>
      </c>
      <c r="O104" s="646">
        <f>IF('Table 3a'!BW111="","",'Table 3a'!BW111)</f>
        <v>0</v>
      </c>
      <c r="P104" s="646">
        <f>IF('Table 3a'!BX111="","",'Table 3a'!BX111)</f>
        <v>0</v>
      </c>
      <c r="Q104" s="646">
        <f t="shared" si="68"/>
        <v>4014961.55</v>
      </c>
      <c r="R104" s="646">
        <f>IF('Table 3a'!AB111="","",'Table 3a'!AB111)</f>
        <v>1041</v>
      </c>
      <c r="S104" s="646">
        <f t="shared" si="69"/>
        <v>3856.831460134486</v>
      </c>
      <c r="T104" s="649" t="s">
        <v>642</v>
      </c>
      <c r="U104" s="649">
        <v>147392.18111000984</v>
      </c>
      <c r="V104" s="649">
        <v>68837</v>
      </c>
      <c r="W104" s="651"/>
      <c r="X104" s="649">
        <v>80476</v>
      </c>
      <c r="Y104" s="649">
        <v>189000</v>
      </c>
      <c r="Z104" s="649">
        <v>10974</v>
      </c>
      <c r="AA104" s="649">
        <v>0</v>
      </c>
      <c r="AB104" s="649">
        <v>0</v>
      </c>
      <c r="AC104" s="649">
        <f t="shared" si="70"/>
        <v>179829</v>
      </c>
      <c r="AD104" s="646">
        <f>IF('Table 3a'!AA111="","",'Table 3a'!AA111)</f>
        <v>0</v>
      </c>
      <c r="AE104" s="652"/>
      <c r="AF104" s="653"/>
      <c r="AG104" s="654"/>
      <c r="AH104" s="655"/>
      <c r="AI104" s="656"/>
      <c r="AJ104" s="657"/>
      <c r="AK104" s="658"/>
      <c r="AL104" s="658"/>
      <c r="AM104" s="658"/>
      <c r="AN104" s="657"/>
      <c r="AO104" s="658"/>
      <c r="AP104" s="658"/>
      <c r="AQ104" s="658"/>
      <c r="AR104" s="682"/>
      <c r="AS104" s="660">
        <f t="shared" si="71"/>
      </c>
      <c r="AT104" s="660">
        <f>IF(OR(OR(AND(C104="",D104&lt;&gt;""),AND(C104&lt;&gt;"",D104="")),AND(OR(SUM(Q104)&lt;&gt;0,SUM(R104)&lt;&gt;0,AND(U104&lt;&gt;"",U104&lt;&gt;0),AND(V104&lt;&gt;"",V104&lt;&gt;0),AND(W104&lt;&gt;"",W104&lt;&gt;0),AND(X104&lt;&gt;"",X104&lt;&gt;0),AND(Y104&lt;&gt;"",Y104&lt;&gt;0),AND(Z104&lt;&gt;"",Z104&lt;&gt;0),AND(AA104&lt;&gt;"",AA104&lt;&gt;0),AND(AB104&lt;&gt;"",AB104&lt;&gt;0),AND(AC104&lt;&gt;"",AC104&lt;&gt;0),AND(AD104&lt;&gt;"",AD104&lt;&gt;0),AE104&lt;&gt;"",AF104&lt;&gt;""),OR(C104="",D104=""))),"Error 2.11",IF(AND(C104&lt;&gt;"",ISNUMBER(D104)=FALSE),"Error 1.2",IF(AND(C104&lt;&gt;"",'Table 3a'!D105-INT('Table 3a'!D105)&lt;&gt;0),"Error 2.1",IF(AND(C104&lt;&gt;"",OR(D104&lt;4000,AND(D104&gt;4899,D104&lt;5400),AND(D104&gt;5499,D104&lt;5900),D104&gt;5939)),"Error 2.4",IF(AND(C104&lt;&gt;"",COUNTIF(startdfes:enddfes,D104)&gt;1),"Warning 1.2","")))))</f>
      </c>
      <c r="AU104" s="660">
        <f>IF(AND(OR(E104="",E104=0),C104="",D104=""),"",IF(AND(OR(C104&lt;&gt;"",D104&lt;&gt;""),E104=""),"Error 4.10.2",IF(AND(E104&lt;&gt;"",ISNUMBER(E104)=FALSE),"Error 1.2",IF(E104&lt;=0,"Error 1.4",IF('Table 3a'!AC111&lt;&gt;'Table 3a'!CA111,"Warning 2.7","")))))</f>
      </c>
      <c r="AV104" s="660">
        <f t="shared" si="72"/>
      </c>
      <c r="AW104" s="660">
        <f t="shared" si="73"/>
      </c>
      <c r="AX104" s="660">
        <f t="shared" si="74"/>
      </c>
      <c r="AY104" s="660">
        <f t="shared" si="75"/>
      </c>
      <c r="AZ104" s="660">
        <f t="shared" si="76"/>
      </c>
      <c r="BA104" s="660">
        <f t="shared" si="77"/>
      </c>
      <c r="BB104" s="660">
        <f t="shared" si="78"/>
      </c>
      <c r="BC104" s="660">
        <f t="shared" si="79"/>
      </c>
      <c r="BD104" s="660">
        <f t="shared" si="80"/>
      </c>
      <c r="BE104" s="660">
        <f t="shared" si="81"/>
      </c>
      <c r="BF104" s="660">
        <f t="shared" si="82"/>
      </c>
      <c r="BG104" s="660">
        <f>IF(AND(OR(Q104="",Q104=0),C104="",D104=""),"",IF(AND(OR(C104&lt;&gt;"",D104&lt;&gt;""),Q104=""),"Error 4.10.2",IF(AND(Q104&lt;&gt;"",ISNUMBER(Q104)=FALSE),"Error 1.2",IF(AND(OR(Q104&lt;10000,Q104&gt;15000000)),"Error 3.2.2",IF(ABS(('Table 3a'!BY111*2)-'Table 3a'!BZ111)&gt;50,"Error 3.7","")))))</f>
      </c>
      <c r="BH104" s="660">
        <f t="shared" si="83"/>
      </c>
      <c r="BI104" s="660">
        <f t="shared" si="84"/>
      </c>
      <c r="BJ104" s="660">
        <f t="shared" si="85"/>
      </c>
      <c r="BK104" s="660">
        <f t="shared" si="86"/>
      </c>
      <c r="BL104" s="660">
        <f t="shared" si="87"/>
      </c>
      <c r="BM104" s="663"/>
      <c r="BN104" s="660">
        <f t="shared" si="88"/>
      </c>
      <c r="BO104" s="660">
        <f t="shared" si="89"/>
      </c>
      <c r="BP104" s="660">
        <f t="shared" si="90"/>
      </c>
      <c r="BQ104" s="660">
        <f t="shared" si="91"/>
      </c>
      <c r="BR104" s="660">
        <f t="shared" si="92"/>
      </c>
      <c r="BS104" s="660">
        <f t="shared" si="93"/>
      </c>
      <c r="BT104" s="660">
        <f t="shared" si="94"/>
      </c>
      <c r="BU104" s="660">
        <f t="shared" si="95"/>
      </c>
      <c r="BV104" s="660">
        <f t="shared" si="96"/>
      </c>
      <c r="BW104" s="605">
        <f t="shared" si="97"/>
        <v>0</v>
      </c>
      <c r="BX104" s="660">
        <f t="shared" si="98"/>
      </c>
      <c r="BY104" s="664"/>
      <c r="BZ104" s="664"/>
      <c r="CA104" s="665"/>
      <c r="CB104" s="665"/>
      <c r="CC104" s="666"/>
    </row>
    <row r="105" spans="2:81" ht="12.75">
      <c r="B105" s="645">
        <f>IF('Table 3a'!B112="","",'Table 3a'!B112)</f>
        <v>8</v>
      </c>
      <c r="C105" s="644" t="str">
        <f>IF('Table 3a'!C112="","",'Table 3a'!C112)</f>
        <v>Lyndon School Humanities College</v>
      </c>
      <c r="D105" s="645">
        <f>IF('Table 3a'!D112="","",'Table 3a'!D112)</f>
        <v>4020</v>
      </c>
      <c r="E105" s="646">
        <f>IF('Table 3a'!AC112="","",'Table 3a'!AC112)</f>
        <v>3935104.28</v>
      </c>
      <c r="F105" s="646">
        <f>IF('Table 3a'!AJ112="","",'Table 3a'!AJ112)</f>
        <v>0</v>
      </c>
      <c r="G105" s="646">
        <f>IF('Table 3a'!AL112="","",'Table 3a'!AL112)</f>
        <v>0</v>
      </c>
      <c r="H105" s="646">
        <f>IF('Table 3a'!AO112="","",'Table 3a'!AO112)</f>
        <v>0</v>
      </c>
      <c r="I105" s="646">
        <f>IF('Table 3a'!AU112="","",'Table 3a'!AU112)</f>
        <v>294381</v>
      </c>
      <c r="J105" s="646">
        <f>IF('Table 3a'!AX112="","",'Table 3a'!AX112)</f>
        <v>9112</v>
      </c>
      <c r="K105" s="646">
        <f>IF('Table 3a'!BC112="","",'Table 3a'!BC112)</f>
        <v>187037</v>
      </c>
      <c r="L105" s="646">
        <f>IF('Table 3a'!BI112="","",'Table 3a'!BI112)</f>
        <v>114893</v>
      </c>
      <c r="M105" s="646">
        <f>IF('Table 3a'!BN112="","",'Table 3a'!BN112)</f>
        <v>350264</v>
      </c>
      <c r="N105" s="646">
        <f>IF('Table 3a'!BT112="","",'Table 3a'!BT112)</f>
        <v>267217</v>
      </c>
      <c r="O105" s="646">
        <f>IF('Table 3a'!BW112="","",'Table 3a'!BW112)</f>
        <v>0</v>
      </c>
      <c r="P105" s="646">
        <f>IF('Table 3a'!BX112="","",'Table 3a'!BX112)</f>
        <v>0</v>
      </c>
      <c r="Q105" s="646">
        <f t="shared" si="68"/>
        <v>5158008.279999999</v>
      </c>
      <c r="R105" s="646">
        <f>IF('Table 3a'!AB112="","",'Table 3a'!AB112)</f>
        <v>1302</v>
      </c>
      <c r="S105" s="646">
        <f t="shared" si="69"/>
        <v>3961.6039016897075</v>
      </c>
      <c r="T105" s="649" t="s">
        <v>642</v>
      </c>
      <c r="U105" s="649">
        <v>182991.87262199845</v>
      </c>
      <c r="V105" s="649">
        <v>112159</v>
      </c>
      <c r="W105" s="651"/>
      <c r="X105" s="649">
        <v>104825</v>
      </c>
      <c r="Y105" s="649">
        <v>140481</v>
      </c>
      <c r="Z105" s="649">
        <v>13617</v>
      </c>
      <c r="AA105" s="649">
        <v>0</v>
      </c>
      <c r="AB105" s="649">
        <v>0</v>
      </c>
      <c r="AC105" s="649">
        <f t="shared" si="70"/>
        <v>303493</v>
      </c>
      <c r="AD105" s="646">
        <f>IF('Table 3a'!AA112="","",'Table 3a'!AA112)</f>
        <v>0</v>
      </c>
      <c r="AE105" s="652"/>
      <c r="AF105" s="653"/>
      <c r="AG105" s="654"/>
      <c r="AH105" s="655"/>
      <c r="AI105" s="656"/>
      <c r="AJ105" s="657"/>
      <c r="AK105" s="658"/>
      <c r="AL105" s="658"/>
      <c r="AM105" s="658"/>
      <c r="AN105" s="657"/>
      <c r="AO105" s="658"/>
      <c r="AP105" s="658"/>
      <c r="AQ105" s="658"/>
      <c r="AR105" s="682"/>
      <c r="AS105" s="660">
        <f t="shared" si="71"/>
      </c>
      <c r="AT105" s="660">
        <f>IF(OR(OR(AND(C105="",D105&lt;&gt;""),AND(C105&lt;&gt;"",D105="")),AND(OR(SUM(Q105)&lt;&gt;0,SUM(R105)&lt;&gt;0,AND(U105&lt;&gt;"",U105&lt;&gt;0),AND(V105&lt;&gt;"",V105&lt;&gt;0),AND(W105&lt;&gt;"",W105&lt;&gt;0),AND(X105&lt;&gt;"",X105&lt;&gt;0),AND(Y105&lt;&gt;"",Y105&lt;&gt;0),AND(Z105&lt;&gt;"",Z105&lt;&gt;0),AND(AA105&lt;&gt;"",AA105&lt;&gt;0),AND(AB105&lt;&gt;"",AB105&lt;&gt;0),AND(AC105&lt;&gt;"",AC105&lt;&gt;0),AND(AD105&lt;&gt;"",AD105&lt;&gt;0),AE105&lt;&gt;"",AF105&lt;&gt;""),OR(C105="",D105=""))),"Error 2.11",IF(AND(C105&lt;&gt;"",ISNUMBER(D105)=FALSE),"Error 1.2",IF(AND(C105&lt;&gt;"",'Table 3a'!D106-INT('Table 3a'!D106)&lt;&gt;0),"Error 2.1",IF(AND(C105&lt;&gt;"",OR(D105&lt;4000,AND(D105&gt;4899,D105&lt;5400),AND(D105&gt;5499,D105&lt;5900),D105&gt;5939)),"Error 2.4",IF(AND(C105&lt;&gt;"",COUNTIF(startdfes:enddfes,D105)&gt;1),"Warning 1.2","")))))</f>
      </c>
      <c r="AU105" s="660">
        <f>IF(AND(OR(E105="",E105=0),C105="",D105=""),"",IF(AND(OR(C105&lt;&gt;"",D105&lt;&gt;""),E105=""),"Error 4.10.2",IF(AND(E105&lt;&gt;"",ISNUMBER(E105)=FALSE),"Error 1.2",IF(E105&lt;=0,"Error 1.4",IF('Table 3a'!AC112&lt;&gt;'Table 3a'!CA112,"Warning 2.7","")))))</f>
      </c>
      <c r="AV105" s="660">
        <f t="shared" si="72"/>
      </c>
      <c r="AW105" s="660">
        <f t="shared" si="73"/>
      </c>
      <c r="AX105" s="660">
        <f t="shared" si="74"/>
      </c>
      <c r="AY105" s="660">
        <f t="shared" si="75"/>
      </c>
      <c r="AZ105" s="660">
        <f t="shared" si="76"/>
      </c>
      <c r="BA105" s="660">
        <f t="shared" si="77"/>
      </c>
      <c r="BB105" s="660">
        <f t="shared" si="78"/>
      </c>
      <c r="BC105" s="660">
        <f t="shared" si="79"/>
      </c>
      <c r="BD105" s="660">
        <f t="shared" si="80"/>
      </c>
      <c r="BE105" s="660">
        <f t="shared" si="81"/>
      </c>
      <c r="BF105" s="660">
        <f t="shared" si="82"/>
      </c>
      <c r="BG105" s="660">
        <f>IF(AND(OR(Q105="",Q105=0),C105="",D105=""),"",IF(AND(OR(C105&lt;&gt;"",D105&lt;&gt;""),Q105=""),"Error 4.10.2",IF(AND(Q105&lt;&gt;"",ISNUMBER(Q105)=FALSE),"Error 1.2",IF(AND(OR(Q105&lt;10000,Q105&gt;15000000)),"Error 3.2.2",IF(ABS(('Table 3a'!BY112*2)-'Table 3a'!BZ112)&gt;50,"Error 3.7","")))))</f>
      </c>
      <c r="BH105" s="660">
        <f t="shared" si="83"/>
      </c>
      <c r="BI105" s="660">
        <f t="shared" si="84"/>
      </c>
      <c r="BJ105" s="660">
        <f t="shared" si="85"/>
      </c>
      <c r="BK105" s="660">
        <f t="shared" si="86"/>
      </c>
      <c r="BL105" s="660">
        <f t="shared" si="87"/>
      </c>
      <c r="BM105" s="663"/>
      <c r="BN105" s="660">
        <f t="shared" si="88"/>
      </c>
      <c r="BO105" s="660">
        <f t="shared" si="89"/>
      </c>
      <c r="BP105" s="660">
        <f t="shared" si="90"/>
      </c>
      <c r="BQ105" s="660">
        <f t="shared" si="91"/>
      </c>
      <c r="BR105" s="660">
        <f t="shared" si="92"/>
      </c>
      <c r="BS105" s="660">
        <f t="shared" si="93"/>
      </c>
      <c r="BT105" s="660">
        <f t="shared" si="94"/>
      </c>
      <c r="BU105" s="660">
        <f t="shared" si="95"/>
      </c>
      <c r="BV105" s="660">
        <f t="shared" si="96"/>
      </c>
      <c r="BW105" s="605">
        <f t="shared" si="97"/>
        <v>0</v>
      </c>
      <c r="BX105" s="660">
        <f t="shared" si="98"/>
      </c>
      <c r="BY105" s="664"/>
      <c r="BZ105" s="664"/>
      <c r="CA105" s="665"/>
      <c r="CB105" s="665"/>
      <c r="CC105" s="666"/>
    </row>
    <row r="106" spans="2:81" ht="12.75">
      <c r="B106" s="645">
        <f>IF('Table 3a'!B113="","",'Table 3a'!B113)</f>
        <v>4</v>
      </c>
      <c r="C106" s="644" t="str">
        <f>IF('Table 3a'!C113="","",'Table 3a'!C113)</f>
        <v>Heart of England School</v>
      </c>
      <c r="D106" s="645">
        <f>IF('Table 3a'!D113="","",'Table 3a'!D113)</f>
        <v>4030</v>
      </c>
      <c r="E106" s="646">
        <f>IF('Table 3a'!AC113="","",'Table 3a'!AC113)</f>
        <v>3252227.8899999997</v>
      </c>
      <c r="F106" s="646">
        <f>IF('Table 3a'!AJ113="","",'Table 3a'!AJ113)</f>
        <v>0</v>
      </c>
      <c r="G106" s="646">
        <f>IF('Table 3a'!AL113="","",'Table 3a'!AL113)</f>
        <v>1335482</v>
      </c>
      <c r="H106" s="646">
        <f>IF('Table 3a'!AO113="","",'Table 3a'!AO113)</f>
        <v>0</v>
      </c>
      <c r="I106" s="646">
        <f>IF('Table 3a'!AU113="","",'Table 3a'!AU113)</f>
        <v>115620</v>
      </c>
      <c r="J106" s="646">
        <f>IF('Table 3a'!AX113="","",'Table 3a'!AX113)</f>
        <v>9112</v>
      </c>
      <c r="K106" s="646">
        <f>IF('Table 3a'!BC113="","",'Table 3a'!BC113)</f>
        <v>79548</v>
      </c>
      <c r="L106" s="646">
        <f>IF('Table 3a'!BI113="","",'Table 3a'!BI113)</f>
        <v>38440</v>
      </c>
      <c r="M106" s="646">
        <f>IF('Table 3a'!BN113="","",'Table 3a'!BN113)</f>
        <v>320024</v>
      </c>
      <c r="N106" s="646">
        <f>IF('Table 3a'!BT113="","",'Table 3a'!BT113)</f>
        <v>319143</v>
      </c>
      <c r="O106" s="646">
        <f>IF('Table 3a'!BW113="","",'Table 3a'!BW113)</f>
        <v>-127638</v>
      </c>
      <c r="P106" s="646">
        <f>IF('Table 3a'!BX113="","",'Table 3a'!BX113)</f>
        <v>0</v>
      </c>
      <c r="Q106" s="646">
        <f t="shared" si="68"/>
        <v>5341958.89</v>
      </c>
      <c r="R106" s="646">
        <f>IF('Table 3a'!AB113="","",'Table 3a'!AB113)</f>
        <v>1349</v>
      </c>
      <c r="S106" s="646">
        <f t="shared" si="69"/>
        <v>3959.939873980726</v>
      </c>
      <c r="T106" s="649" t="s">
        <v>642</v>
      </c>
      <c r="U106" s="649">
        <v>187370</v>
      </c>
      <c r="V106" s="649">
        <v>47708</v>
      </c>
      <c r="W106" s="651"/>
      <c r="X106" s="649">
        <v>84643</v>
      </c>
      <c r="Y106" s="649">
        <v>216405</v>
      </c>
      <c r="Z106" s="649">
        <v>15046</v>
      </c>
      <c r="AA106" s="649">
        <v>0</v>
      </c>
      <c r="AB106" s="649">
        <v>0</v>
      </c>
      <c r="AC106" s="649">
        <f t="shared" si="70"/>
        <v>124732</v>
      </c>
      <c r="AD106" s="646">
        <f>IF('Table 3a'!AA113="","",'Table 3a'!AA113)</f>
        <v>274</v>
      </c>
      <c r="AE106" s="652"/>
      <c r="AF106" s="653"/>
      <c r="AG106" s="654"/>
      <c r="AH106" s="655"/>
      <c r="AI106" s="656"/>
      <c r="AJ106" s="657"/>
      <c r="AK106" s="658"/>
      <c r="AL106" s="658"/>
      <c r="AM106" s="658"/>
      <c r="AN106" s="657"/>
      <c r="AO106" s="658"/>
      <c r="AP106" s="658"/>
      <c r="AQ106" s="658"/>
      <c r="AR106" s="682"/>
      <c r="AS106" s="660">
        <f t="shared" si="71"/>
      </c>
      <c r="AT106" s="660">
        <f>IF(OR(OR(AND(C106="",D106&lt;&gt;""),AND(C106&lt;&gt;"",D106="")),AND(OR(SUM(Q106)&lt;&gt;0,SUM(R106)&lt;&gt;0,AND(U106&lt;&gt;"",U106&lt;&gt;0),AND(V106&lt;&gt;"",V106&lt;&gt;0),AND(W106&lt;&gt;"",W106&lt;&gt;0),AND(X106&lt;&gt;"",X106&lt;&gt;0),AND(Y106&lt;&gt;"",Y106&lt;&gt;0),AND(Z106&lt;&gt;"",Z106&lt;&gt;0),AND(AA106&lt;&gt;"",AA106&lt;&gt;0),AND(AB106&lt;&gt;"",AB106&lt;&gt;0),AND(AC106&lt;&gt;"",AC106&lt;&gt;0),AND(AD106&lt;&gt;"",AD106&lt;&gt;0),AE106&lt;&gt;"",AF106&lt;&gt;""),OR(C106="",D106=""))),"Error 2.11",IF(AND(C106&lt;&gt;"",ISNUMBER(D106)=FALSE),"Error 1.2",IF(AND(C106&lt;&gt;"",'Table 3a'!D107-INT('Table 3a'!D107)&lt;&gt;0),"Error 2.1",IF(AND(C106&lt;&gt;"",OR(D106&lt;4000,AND(D106&gt;4899,D106&lt;5400),AND(D106&gt;5499,D106&lt;5900),D106&gt;5939)),"Error 2.4",IF(AND(C106&lt;&gt;"",COUNTIF(startdfes:enddfes,D106)&gt;1),"Warning 1.2","")))))</f>
      </c>
      <c r="AU106" s="660">
        <f>IF(AND(OR(E106="",E106=0),C106="",D106=""),"",IF(AND(OR(C106&lt;&gt;"",D106&lt;&gt;""),E106=""),"Error 4.10.2",IF(AND(E106&lt;&gt;"",ISNUMBER(E106)=FALSE),"Error 1.2",IF(E106&lt;=0,"Error 1.4",IF('Table 3a'!AC113&lt;&gt;'Table 3a'!CA113,"Warning 2.7","")))))</f>
      </c>
      <c r="AV106" s="660">
        <f t="shared" si="72"/>
      </c>
      <c r="AW106" s="660">
        <f t="shared" si="73"/>
      </c>
      <c r="AX106" s="660">
        <f t="shared" si="74"/>
      </c>
      <c r="AY106" s="660">
        <f t="shared" si="75"/>
      </c>
      <c r="AZ106" s="660">
        <f t="shared" si="76"/>
      </c>
      <c r="BA106" s="660">
        <f t="shared" si="77"/>
      </c>
      <c r="BB106" s="660">
        <f t="shared" si="78"/>
      </c>
      <c r="BC106" s="660">
        <f t="shared" si="79"/>
      </c>
      <c r="BD106" s="660">
        <f t="shared" si="80"/>
      </c>
      <c r="BE106" s="660">
        <f t="shared" si="81"/>
      </c>
      <c r="BF106" s="660">
        <f t="shared" si="82"/>
      </c>
      <c r="BG106" s="660">
        <f>IF(AND(OR(Q106="",Q106=0),C106="",D106=""),"",IF(AND(OR(C106&lt;&gt;"",D106&lt;&gt;""),Q106=""),"Error 4.10.2",IF(AND(Q106&lt;&gt;"",ISNUMBER(Q106)=FALSE),"Error 1.2",IF(AND(OR(Q106&lt;10000,Q106&gt;15000000)),"Error 3.2.2",IF(ABS(('Table 3a'!BY113*2)-'Table 3a'!BZ113)&gt;50,"Error 3.7","")))))</f>
      </c>
      <c r="BH106" s="660">
        <f t="shared" si="83"/>
      </c>
      <c r="BI106" s="660">
        <f t="shared" si="84"/>
      </c>
      <c r="BJ106" s="660">
        <f t="shared" si="85"/>
      </c>
      <c r="BK106" s="660">
        <f t="shared" si="86"/>
      </c>
      <c r="BL106" s="660">
        <f t="shared" si="87"/>
      </c>
      <c r="BM106" s="663"/>
      <c r="BN106" s="660">
        <f t="shared" si="88"/>
      </c>
      <c r="BO106" s="660">
        <f t="shared" si="89"/>
      </c>
      <c r="BP106" s="660">
        <f t="shared" si="90"/>
      </c>
      <c r="BQ106" s="660">
        <f t="shared" si="91"/>
      </c>
      <c r="BR106" s="660">
        <f t="shared" si="92"/>
      </c>
      <c r="BS106" s="660">
        <f t="shared" si="93"/>
      </c>
      <c r="BT106" s="660">
        <f t="shared" si="94"/>
      </c>
      <c r="BU106" s="660">
        <f t="shared" si="95"/>
      </c>
      <c r="BV106" s="660">
        <f t="shared" si="96"/>
      </c>
      <c r="BW106" s="605">
        <f t="shared" si="97"/>
        <v>0</v>
      </c>
      <c r="BX106" s="660">
        <f t="shared" si="98"/>
      </c>
      <c r="BY106" s="664"/>
      <c r="BZ106" s="664"/>
      <c r="CA106" s="665"/>
      <c r="CB106" s="665"/>
      <c r="CC106" s="666"/>
    </row>
    <row r="107" spans="2:81" ht="12.75">
      <c r="B107" s="645">
        <f>IF('Table 3a'!B114="","",'Table 3a'!B114)</f>
        <v>9</v>
      </c>
      <c r="C107" s="644" t="str">
        <f>IF('Table 3a'!C114="","",'Table 3a'!C114)</f>
        <v>Park Hall School</v>
      </c>
      <c r="D107" s="645">
        <f>IF('Table 3a'!D114="","",'Table 3a'!D114)</f>
        <v>4031</v>
      </c>
      <c r="E107" s="646">
        <f>IF('Table 3a'!AC114="","",'Table 3a'!AC114)</f>
        <v>2893596.8</v>
      </c>
      <c r="F107" s="646">
        <f>IF('Table 3a'!AJ114="","",'Table 3a'!AJ114)</f>
        <v>0</v>
      </c>
      <c r="G107" s="646">
        <f>IF('Table 3a'!AL114="","",'Table 3a'!AL114)</f>
        <v>667193</v>
      </c>
      <c r="H107" s="646">
        <f>IF('Table 3a'!AO114="","",'Table 3a'!AO114)</f>
        <v>0</v>
      </c>
      <c r="I107" s="646">
        <f>IF('Table 3a'!AU114="","",'Table 3a'!AU114)</f>
        <v>216275</v>
      </c>
      <c r="J107" s="646">
        <f>IF('Table 3a'!AX114="","",'Table 3a'!AX114)</f>
        <v>9112</v>
      </c>
      <c r="K107" s="646">
        <f>IF('Table 3a'!BC114="","",'Table 3a'!BC114)</f>
        <v>179621</v>
      </c>
      <c r="L107" s="646">
        <f>IF('Table 3a'!BI114="","",'Table 3a'!BI114)</f>
        <v>128757</v>
      </c>
      <c r="M107" s="646">
        <f>IF('Table 3a'!BN114="","",'Table 3a'!BN114)</f>
        <v>435953</v>
      </c>
      <c r="N107" s="646">
        <f>IF('Table 3a'!BT114="","",'Table 3a'!BT114)</f>
        <v>223235</v>
      </c>
      <c r="O107" s="646">
        <f>IF('Table 3a'!BW114="","",'Table 3a'!BW114)</f>
        <v>-89382</v>
      </c>
      <c r="P107" s="646">
        <f>IF('Table 3a'!BX114="","",'Table 3a'!BX114)</f>
        <v>0</v>
      </c>
      <c r="Q107" s="646">
        <f t="shared" si="68"/>
        <v>4664360.8</v>
      </c>
      <c r="R107" s="646">
        <f>IF('Table 3a'!AB114="","",'Table 3a'!AB114)</f>
        <v>1090</v>
      </c>
      <c r="S107" s="646">
        <f t="shared" si="69"/>
        <v>4279.230091743119</v>
      </c>
      <c r="T107" s="649" t="s">
        <v>642</v>
      </c>
      <c r="U107" s="649">
        <v>153700</v>
      </c>
      <c r="V107" s="649">
        <v>92901</v>
      </c>
      <c r="W107" s="651"/>
      <c r="X107" s="649">
        <v>320194</v>
      </c>
      <c r="Y107" s="649">
        <v>0</v>
      </c>
      <c r="Z107" s="649">
        <v>12639</v>
      </c>
      <c r="AA107" s="649">
        <v>0</v>
      </c>
      <c r="AB107" s="649">
        <v>0</v>
      </c>
      <c r="AC107" s="649">
        <f t="shared" si="70"/>
        <v>225387</v>
      </c>
      <c r="AD107" s="646">
        <f>IF('Table 3a'!AA114="","",'Table 3a'!AA114)</f>
        <v>142</v>
      </c>
      <c r="AE107" s="652"/>
      <c r="AF107" s="653"/>
      <c r="AG107" s="654"/>
      <c r="AH107" s="655"/>
      <c r="AI107" s="656"/>
      <c r="AJ107" s="657"/>
      <c r="AK107" s="658"/>
      <c r="AL107" s="658"/>
      <c r="AM107" s="658"/>
      <c r="AN107" s="657"/>
      <c r="AO107" s="658"/>
      <c r="AP107" s="658"/>
      <c r="AQ107" s="658"/>
      <c r="AR107" s="682"/>
      <c r="AS107" s="660">
        <f t="shared" si="71"/>
      </c>
      <c r="AT107" s="660">
        <f>IF(OR(OR(AND(C107="",D107&lt;&gt;""),AND(C107&lt;&gt;"",D107="")),AND(OR(SUM(Q107)&lt;&gt;0,SUM(R107)&lt;&gt;0,AND(U107&lt;&gt;"",U107&lt;&gt;0),AND(V107&lt;&gt;"",V107&lt;&gt;0),AND(W107&lt;&gt;"",W107&lt;&gt;0),AND(X107&lt;&gt;"",X107&lt;&gt;0),AND(Y107&lt;&gt;"",Y107&lt;&gt;0),AND(Z107&lt;&gt;"",Z107&lt;&gt;0),AND(AA107&lt;&gt;"",AA107&lt;&gt;0),AND(AB107&lt;&gt;"",AB107&lt;&gt;0),AND(AC107&lt;&gt;"",AC107&lt;&gt;0),AND(AD107&lt;&gt;"",AD107&lt;&gt;0),AE107&lt;&gt;"",AF107&lt;&gt;""),OR(C107="",D107=""))),"Error 2.11",IF(AND(C107&lt;&gt;"",ISNUMBER(D107)=FALSE),"Error 1.2",IF(AND(C107&lt;&gt;"",'Table 3a'!D108-INT('Table 3a'!D108)&lt;&gt;0),"Error 2.1",IF(AND(C107&lt;&gt;"",OR(D107&lt;4000,AND(D107&gt;4899,D107&lt;5400),AND(D107&gt;5499,D107&lt;5900),D107&gt;5939)),"Error 2.4",IF(AND(C107&lt;&gt;"",COUNTIF(startdfes:enddfes,D107)&gt;1),"Warning 1.2","")))))</f>
      </c>
      <c r="AU107" s="660">
        <f>IF(AND(OR(E107="",E107=0),C107="",D107=""),"",IF(AND(OR(C107&lt;&gt;"",D107&lt;&gt;""),E107=""),"Error 4.10.2",IF(AND(E107&lt;&gt;"",ISNUMBER(E107)=FALSE),"Error 1.2",IF(E107&lt;=0,"Error 1.4",IF('Table 3a'!AC114&lt;&gt;'Table 3a'!CA114,"Warning 2.7","")))))</f>
      </c>
      <c r="AV107" s="660">
        <f t="shared" si="72"/>
      </c>
      <c r="AW107" s="660">
        <f t="shared" si="73"/>
      </c>
      <c r="AX107" s="660">
        <f t="shared" si="74"/>
      </c>
      <c r="AY107" s="660">
        <f t="shared" si="75"/>
      </c>
      <c r="AZ107" s="660">
        <f t="shared" si="76"/>
      </c>
      <c r="BA107" s="660">
        <f t="shared" si="77"/>
      </c>
      <c r="BB107" s="660">
        <f t="shared" si="78"/>
      </c>
      <c r="BC107" s="660">
        <f t="shared" si="79"/>
      </c>
      <c r="BD107" s="660">
        <f t="shared" si="80"/>
      </c>
      <c r="BE107" s="660">
        <f t="shared" si="81"/>
      </c>
      <c r="BF107" s="660">
        <f t="shared" si="82"/>
      </c>
      <c r="BG107" s="660">
        <f>IF(AND(OR(Q107="",Q107=0),C107="",D107=""),"",IF(AND(OR(C107&lt;&gt;"",D107&lt;&gt;""),Q107=""),"Error 4.10.2",IF(AND(Q107&lt;&gt;"",ISNUMBER(Q107)=FALSE),"Error 1.2",IF(AND(OR(Q107&lt;10000,Q107&gt;15000000)),"Error 3.2.2",IF(ABS(('Table 3a'!BY114*2)-'Table 3a'!BZ114)&gt;50,"Error 3.7","")))))</f>
      </c>
      <c r="BH107" s="660">
        <f t="shared" si="83"/>
      </c>
      <c r="BI107" s="660">
        <f t="shared" si="84"/>
      </c>
      <c r="BJ107" s="660">
        <f t="shared" si="85"/>
      </c>
      <c r="BK107" s="660">
        <f t="shared" si="86"/>
      </c>
      <c r="BL107" s="660">
        <f t="shared" si="87"/>
      </c>
      <c r="BM107" s="663"/>
      <c r="BN107" s="660">
        <f t="shared" si="88"/>
      </c>
      <c r="BO107" s="660">
        <f t="shared" si="89"/>
      </c>
      <c r="BP107" s="660">
        <f t="shared" si="90"/>
      </c>
      <c r="BQ107" s="660">
        <f t="shared" si="91"/>
      </c>
      <c r="BR107" s="660">
        <f t="shared" si="92"/>
      </c>
      <c r="BS107" s="660">
        <f t="shared" si="93"/>
      </c>
      <c r="BT107" s="660">
        <f t="shared" si="94"/>
      </c>
      <c r="BU107" s="660">
        <f t="shared" si="95"/>
      </c>
      <c r="BV107" s="660">
        <f t="shared" si="96"/>
      </c>
      <c r="BW107" s="605">
        <f t="shared" si="97"/>
        <v>0</v>
      </c>
      <c r="BX107" s="660">
        <f t="shared" si="98"/>
      </c>
      <c r="BY107" s="664"/>
      <c r="BZ107" s="664"/>
      <c r="CA107" s="665"/>
      <c r="CB107" s="665"/>
      <c r="CC107" s="666"/>
    </row>
    <row r="108" spans="2:81" ht="12.75">
      <c r="B108" s="645">
        <f>IF('Table 3a'!B115="","",'Table 3a'!B115)</f>
        <v>10</v>
      </c>
      <c r="C108" s="644" t="str">
        <f>IF('Table 3a'!C115="","",'Table 3a'!C115)</f>
        <v>Smith's Wood Sports College</v>
      </c>
      <c r="D108" s="645">
        <f>IF('Table 3a'!D115="","",'Table 3a'!D115)</f>
        <v>4034</v>
      </c>
      <c r="E108" s="646">
        <f>IF('Table 3a'!AC115="","",'Table 3a'!AC115)</f>
        <v>3107800.14</v>
      </c>
      <c r="F108" s="646">
        <f>IF('Table 3a'!AJ115="","",'Table 3a'!AJ115)</f>
        <v>0</v>
      </c>
      <c r="G108" s="646">
        <f>IF('Table 3a'!AL115="","",'Table 3a'!AL115)</f>
        <v>232966</v>
      </c>
      <c r="H108" s="646">
        <f>IF('Table 3a'!AO115="","",'Table 3a'!AO115)</f>
        <v>0</v>
      </c>
      <c r="I108" s="646">
        <f>IF('Table 3a'!AU115="","",'Table 3a'!AU115)</f>
        <v>337258</v>
      </c>
      <c r="J108" s="646">
        <f>IF('Table 3a'!AX115="","",'Table 3a'!AX115)</f>
        <v>9112</v>
      </c>
      <c r="K108" s="646">
        <f>IF('Table 3a'!BC115="","",'Table 3a'!BC115)</f>
        <v>280664</v>
      </c>
      <c r="L108" s="646">
        <f>IF('Table 3a'!BI115="","",'Table 3a'!BI115)</f>
        <v>208514</v>
      </c>
      <c r="M108" s="646">
        <f>IF('Table 3a'!BN115="","",'Table 3a'!BN115)</f>
        <v>366948</v>
      </c>
      <c r="N108" s="646">
        <f>IF('Table 3a'!BT115="","",'Table 3a'!BT115)</f>
        <v>223235</v>
      </c>
      <c r="O108" s="646">
        <f>IF('Table 3a'!BW115="","",'Table 3a'!BW115)</f>
        <v>-39199</v>
      </c>
      <c r="P108" s="646">
        <f>IF('Table 3a'!BX115="","",'Table 3a'!BX115)</f>
        <v>0</v>
      </c>
      <c r="Q108" s="646">
        <f t="shared" si="68"/>
        <v>4727298.140000001</v>
      </c>
      <c r="R108" s="646">
        <f>IF('Table 3a'!AB115="","",'Table 3a'!AB115)</f>
        <v>1102</v>
      </c>
      <c r="S108" s="646">
        <f t="shared" si="69"/>
        <v>4289.744228675137</v>
      </c>
      <c r="T108" s="649" t="s">
        <v>642</v>
      </c>
      <c r="U108" s="649">
        <v>146310.4783873518</v>
      </c>
      <c r="V108" s="649">
        <v>139800</v>
      </c>
      <c r="W108" s="651"/>
      <c r="X108" s="649">
        <v>508874.75455582293</v>
      </c>
      <c r="Y108" s="649">
        <v>258584.24544417707</v>
      </c>
      <c r="Z108" s="649">
        <v>8126</v>
      </c>
      <c r="AA108" s="649">
        <v>0</v>
      </c>
      <c r="AB108" s="649">
        <v>0</v>
      </c>
      <c r="AC108" s="649">
        <f t="shared" si="70"/>
        <v>346370</v>
      </c>
      <c r="AD108" s="646">
        <f>IF('Table 3a'!AA115="","",'Table 3a'!AA115)</f>
        <v>70</v>
      </c>
      <c r="AE108" s="652"/>
      <c r="AF108" s="653"/>
      <c r="AG108" s="654"/>
      <c r="AH108" s="655"/>
      <c r="AI108" s="656"/>
      <c r="AJ108" s="657"/>
      <c r="AK108" s="658"/>
      <c r="AL108" s="658"/>
      <c r="AM108" s="658"/>
      <c r="AN108" s="657"/>
      <c r="AO108" s="658"/>
      <c r="AP108" s="658"/>
      <c r="AQ108" s="658"/>
      <c r="AR108" s="682"/>
      <c r="AS108" s="660">
        <f t="shared" si="71"/>
      </c>
      <c r="AT108" s="660">
        <f>IF(OR(OR(AND(C108="",D108&lt;&gt;""),AND(C108&lt;&gt;"",D108="")),AND(OR(SUM(Q108)&lt;&gt;0,SUM(R108)&lt;&gt;0,AND(U108&lt;&gt;"",U108&lt;&gt;0),AND(V108&lt;&gt;"",V108&lt;&gt;0),AND(W108&lt;&gt;"",W108&lt;&gt;0),AND(X108&lt;&gt;"",X108&lt;&gt;0),AND(Y108&lt;&gt;"",Y108&lt;&gt;0),AND(Z108&lt;&gt;"",Z108&lt;&gt;0),AND(AA108&lt;&gt;"",AA108&lt;&gt;0),AND(AB108&lt;&gt;"",AB108&lt;&gt;0),AND(AC108&lt;&gt;"",AC108&lt;&gt;0),AND(AD108&lt;&gt;"",AD108&lt;&gt;0),AE108&lt;&gt;"",AF108&lt;&gt;""),OR(C108="",D108=""))),"Error 2.11",IF(AND(C108&lt;&gt;"",ISNUMBER(D108)=FALSE),"Error 1.2",IF(AND(C108&lt;&gt;"",'Table 3a'!D109-INT('Table 3a'!D109)&lt;&gt;0),"Error 2.1",IF(AND(C108&lt;&gt;"",OR(D108&lt;4000,AND(D108&gt;4899,D108&lt;5400),AND(D108&gt;5499,D108&lt;5900),D108&gt;5939)),"Error 2.4",IF(AND(C108&lt;&gt;"",COUNTIF(startdfes:enddfes,D108)&gt;1),"Warning 1.2","")))))</f>
      </c>
      <c r="AU108" s="660">
        <f>IF(AND(OR(E108="",E108=0),C108="",D108=""),"",IF(AND(OR(C108&lt;&gt;"",D108&lt;&gt;""),E108=""),"Error 4.10.2",IF(AND(E108&lt;&gt;"",ISNUMBER(E108)=FALSE),"Error 1.2",IF(E108&lt;=0,"Error 1.4",IF('Table 3a'!AC115&lt;&gt;'Table 3a'!CA115,"Warning 2.7","")))))</f>
      </c>
      <c r="AV108" s="660">
        <f t="shared" si="72"/>
      </c>
      <c r="AW108" s="660">
        <f t="shared" si="73"/>
      </c>
      <c r="AX108" s="660">
        <f t="shared" si="74"/>
      </c>
      <c r="AY108" s="660">
        <f t="shared" si="75"/>
      </c>
      <c r="AZ108" s="660">
        <f t="shared" si="76"/>
      </c>
      <c r="BA108" s="660">
        <f t="shared" si="77"/>
      </c>
      <c r="BB108" s="660">
        <f t="shared" si="78"/>
      </c>
      <c r="BC108" s="660">
        <f t="shared" si="79"/>
      </c>
      <c r="BD108" s="660">
        <f t="shared" si="80"/>
      </c>
      <c r="BE108" s="660">
        <f t="shared" si="81"/>
      </c>
      <c r="BF108" s="660">
        <f t="shared" si="82"/>
      </c>
      <c r="BG108" s="660">
        <f>IF(AND(OR(Q108="",Q108=0),C108="",D108=""),"",IF(AND(OR(C108&lt;&gt;"",D108&lt;&gt;""),Q108=""),"Error 4.10.2",IF(AND(Q108&lt;&gt;"",ISNUMBER(Q108)=FALSE),"Error 1.2",IF(AND(OR(Q108&lt;10000,Q108&gt;15000000)),"Error 3.2.2",IF(ABS(('Table 3a'!BY115*2)-'Table 3a'!BZ115)&gt;50,"Error 3.7","")))))</f>
      </c>
      <c r="BH108" s="660">
        <f t="shared" si="83"/>
      </c>
      <c r="BI108" s="660">
        <f t="shared" si="84"/>
      </c>
      <c r="BJ108" s="660">
        <f t="shared" si="85"/>
      </c>
      <c r="BK108" s="660">
        <f t="shared" si="86"/>
      </c>
      <c r="BL108" s="660">
        <f t="shared" si="87"/>
      </c>
      <c r="BM108" s="663"/>
      <c r="BN108" s="660">
        <f t="shared" si="88"/>
      </c>
      <c r="BO108" s="660">
        <f t="shared" si="89"/>
      </c>
      <c r="BP108" s="660">
        <f t="shared" si="90"/>
      </c>
      <c r="BQ108" s="660">
        <f t="shared" si="91"/>
      </c>
      <c r="BR108" s="660">
        <f t="shared" si="92"/>
      </c>
      <c r="BS108" s="660">
        <f t="shared" si="93"/>
      </c>
      <c r="BT108" s="660">
        <f t="shared" si="94"/>
      </c>
      <c r="BU108" s="660">
        <f t="shared" si="95"/>
      </c>
      <c r="BV108" s="660">
        <f t="shared" si="96"/>
      </c>
      <c r="BW108" s="605">
        <f t="shared" si="97"/>
        <v>0</v>
      </c>
      <c r="BX108" s="660">
        <f t="shared" si="98"/>
      </c>
      <c r="BY108" s="664"/>
      <c r="BZ108" s="664"/>
      <c r="CA108" s="665"/>
      <c r="CB108" s="665"/>
      <c r="CC108" s="666"/>
    </row>
    <row r="109" spans="2:81" ht="12.75">
      <c r="B109" s="645">
        <f>IF('Table 3a'!B116="","",'Table 3a'!B116)</f>
        <v>11</v>
      </c>
      <c r="C109" s="644" t="str">
        <f>IF('Table 3a'!C116="","",'Table 3a'!C116)</f>
        <v>St Peter's Catholic School and Specialist Science College</v>
      </c>
      <c r="D109" s="645">
        <f>IF('Table 3a'!D116="","",'Table 3a'!D116)</f>
        <v>4650</v>
      </c>
      <c r="E109" s="646">
        <f>IF('Table 3a'!AC116="","",'Table 3a'!AC116)</f>
        <v>3097482.0699999994</v>
      </c>
      <c r="F109" s="646">
        <f>IF('Table 3a'!AJ116="","",'Table 3a'!AJ116)</f>
        <v>0</v>
      </c>
      <c r="G109" s="646">
        <f>IF('Table 3a'!AL116="","",'Table 3a'!AL116)</f>
        <v>1205135</v>
      </c>
      <c r="H109" s="646">
        <f>IF('Table 3a'!AO116="","",'Table 3a'!AO116)</f>
        <v>0</v>
      </c>
      <c r="I109" s="646">
        <f>IF('Table 3a'!AU116="","",'Table 3a'!AU116)</f>
        <v>77612</v>
      </c>
      <c r="J109" s="646">
        <f>IF('Table 3a'!AX116="","",'Table 3a'!AX116)</f>
        <v>9112</v>
      </c>
      <c r="K109" s="646">
        <f>IF('Table 3a'!BC116="","",'Table 3a'!BC116)</f>
        <v>67496</v>
      </c>
      <c r="L109" s="646">
        <f>IF('Table 3a'!BI116="","",'Table 3a'!BI116)</f>
        <v>31528</v>
      </c>
      <c r="M109" s="646">
        <f>IF('Table 3a'!BN116="","",'Table 3a'!BN116)</f>
        <v>220883</v>
      </c>
      <c r="N109" s="646">
        <f>IF('Table 3a'!BT116="","",'Table 3a'!BT116)</f>
        <v>257279</v>
      </c>
      <c r="O109" s="646">
        <f>IF('Table 3a'!BW116="","",'Table 3a'!BW116)</f>
        <v>-92505</v>
      </c>
      <c r="P109" s="646">
        <f>IF('Table 3a'!BX116="","",'Table 3a'!BX116)</f>
        <v>0</v>
      </c>
      <c r="Q109" s="646">
        <f t="shared" si="68"/>
        <v>4874022.069999999</v>
      </c>
      <c r="R109" s="646">
        <f>IF('Table 3a'!AB116="","",'Table 3a'!AB116)</f>
        <v>1273</v>
      </c>
      <c r="S109" s="646">
        <f t="shared" si="69"/>
        <v>3828.768318931657</v>
      </c>
      <c r="T109" s="649" t="s">
        <v>642</v>
      </c>
      <c r="U109" s="649">
        <v>177490</v>
      </c>
      <c r="V109" s="649">
        <v>38868</v>
      </c>
      <c r="W109" s="651"/>
      <c r="X109" s="649">
        <v>75211</v>
      </c>
      <c r="Y109" s="649">
        <v>231663</v>
      </c>
      <c r="Z109" s="649">
        <v>15393</v>
      </c>
      <c r="AA109" s="649">
        <v>0</v>
      </c>
      <c r="AB109" s="649">
        <v>0</v>
      </c>
      <c r="AC109" s="649">
        <f t="shared" si="70"/>
        <v>86724</v>
      </c>
      <c r="AD109" s="646">
        <f>IF('Table 3a'!AA116="","",'Table 3a'!AA116)</f>
        <v>250</v>
      </c>
      <c r="AE109" s="652"/>
      <c r="AF109" s="653"/>
      <c r="AG109" s="654"/>
      <c r="AH109" s="655"/>
      <c r="AI109" s="656"/>
      <c r="AJ109" s="657"/>
      <c r="AK109" s="658"/>
      <c r="AL109" s="658"/>
      <c r="AM109" s="658"/>
      <c r="AN109" s="657"/>
      <c r="AO109" s="658"/>
      <c r="AP109" s="658"/>
      <c r="AQ109" s="658"/>
      <c r="AR109" s="682"/>
      <c r="AS109" s="660">
        <f t="shared" si="71"/>
      </c>
      <c r="AT109" s="660">
        <f>IF(OR(OR(AND(C109="",D109&lt;&gt;""),AND(C109&lt;&gt;"",D109="")),AND(OR(SUM(Q109)&lt;&gt;0,SUM(R109)&lt;&gt;0,AND(U109&lt;&gt;"",U109&lt;&gt;0),AND(V109&lt;&gt;"",V109&lt;&gt;0),AND(W109&lt;&gt;"",W109&lt;&gt;0),AND(X109&lt;&gt;"",X109&lt;&gt;0),AND(Y109&lt;&gt;"",Y109&lt;&gt;0),AND(Z109&lt;&gt;"",Z109&lt;&gt;0),AND(AA109&lt;&gt;"",AA109&lt;&gt;0),AND(AB109&lt;&gt;"",AB109&lt;&gt;0),AND(AC109&lt;&gt;"",AC109&lt;&gt;0),AND(AD109&lt;&gt;"",AD109&lt;&gt;0),AE109&lt;&gt;"",AF109&lt;&gt;""),OR(C109="",D109=""))),"Error 2.11",IF(AND(C109&lt;&gt;"",ISNUMBER(D109)=FALSE),"Error 1.2",IF(AND(C109&lt;&gt;"",'Table 3a'!D110-INT('Table 3a'!D110)&lt;&gt;0),"Error 2.1",IF(AND(C109&lt;&gt;"",OR(D109&lt;4000,AND(D109&gt;4899,D109&lt;5400),AND(D109&gt;5499,D109&lt;5900),D109&gt;5939)),"Error 2.4",IF(AND(C109&lt;&gt;"",COUNTIF(startdfes:enddfes,D109)&gt;1),"Warning 1.2","")))))</f>
      </c>
      <c r="AU109" s="660">
        <f>IF(AND(OR(E109="",E109=0),C109="",D109=""),"",IF(AND(OR(C109&lt;&gt;"",D109&lt;&gt;""),E109=""),"Error 4.10.2",IF(AND(E109&lt;&gt;"",ISNUMBER(E109)=FALSE),"Error 1.2",IF(E109&lt;=0,"Error 1.4",IF('Table 3a'!AC116&lt;&gt;'Table 3a'!CA116,"Warning 2.7","")))))</f>
      </c>
      <c r="AV109" s="660">
        <f t="shared" si="72"/>
      </c>
      <c r="AW109" s="660">
        <f t="shared" si="73"/>
      </c>
      <c r="AX109" s="660">
        <f t="shared" si="74"/>
      </c>
      <c r="AY109" s="660">
        <f t="shared" si="75"/>
      </c>
      <c r="AZ109" s="660">
        <f t="shared" si="76"/>
      </c>
      <c r="BA109" s="660">
        <f t="shared" si="77"/>
      </c>
      <c r="BB109" s="660">
        <f t="shared" si="78"/>
      </c>
      <c r="BC109" s="660">
        <f t="shared" si="79"/>
      </c>
      <c r="BD109" s="660">
        <f t="shared" si="80"/>
      </c>
      <c r="BE109" s="660">
        <f t="shared" si="81"/>
      </c>
      <c r="BF109" s="660">
        <f t="shared" si="82"/>
      </c>
      <c r="BG109" s="660">
        <f>IF(AND(OR(Q109="",Q109=0),C109="",D109=""),"",IF(AND(OR(C109&lt;&gt;"",D109&lt;&gt;""),Q109=""),"Error 4.10.2",IF(AND(Q109&lt;&gt;"",ISNUMBER(Q109)=FALSE),"Error 1.2",IF(AND(OR(Q109&lt;10000,Q109&gt;15000000)),"Error 3.2.2",IF(ABS(('Table 3a'!BY116*2)-'Table 3a'!BZ116)&gt;50,"Error 3.7","")))))</f>
      </c>
      <c r="BH109" s="660">
        <f t="shared" si="83"/>
      </c>
      <c r="BI109" s="660">
        <f t="shared" si="84"/>
      </c>
      <c r="BJ109" s="660">
        <f t="shared" si="85"/>
      </c>
      <c r="BK109" s="660">
        <f t="shared" si="86"/>
      </c>
      <c r="BL109" s="660">
        <f t="shared" si="87"/>
      </c>
      <c r="BM109" s="663"/>
      <c r="BN109" s="660">
        <f t="shared" si="88"/>
      </c>
      <c r="BO109" s="660">
        <f t="shared" si="89"/>
      </c>
      <c r="BP109" s="660">
        <f t="shared" si="90"/>
      </c>
      <c r="BQ109" s="660">
        <f t="shared" si="91"/>
      </c>
      <c r="BR109" s="660">
        <f t="shared" si="92"/>
      </c>
      <c r="BS109" s="660">
        <f t="shared" si="93"/>
      </c>
      <c r="BT109" s="660">
        <f t="shared" si="94"/>
      </c>
      <c r="BU109" s="660">
        <f t="shared" si="95"/>
      </c>
      <c r="BV109" s="660">
        <f t="shared" si="96"/>
      </c>
      <c r="BW109" s="605">
        <f t="shared" si="97"/>
        <v>0</v>
      </c>
      <c r="BX109" s="660">
        <f t="shared" si="98"/>
      </c>
      <c r="BY109" s="664"/>
      <c r="BZ109" s="664"/>
      <c r="CA109" s="665"/>
      <c r="CB109" s="665"/>
      <c r="CC109" s="666"/>
    </row>
    <row r="110" spans="2:81" ht="12.75">
      <c r="B110" s="645">
        <f>IF('Table 3a'!B117="","",'Table 3a'!B117)</f>
        <v>2</v>
      </c>
      <c r="C110" s="644" t="str">
        <f>IF('Table 3a'!C117="","",'Table 3a'!C117)</f>
        <v>The Archbishop Grimshaw Catholic School</v>
      </c>
      <c r="D110" s="645">
        <f>IF('Table 3a'!D117="","",'Table 3a'!D117)</f>
        <v>4660</v>
      </c>
      <c r="E110" s="646">
        <f>IF('Table 3a'!AC117="","",'Table 3a'!AC117)</f>
        <v>2735401.69</v>
      </c>
      <c r="F110" s="646">
        <f>IF('Table 3a'!AJ117="","",'Table 3a'!AJ117)</f>
        <v>0</v>
      </c>
      <c r="G110" s="646">
        <f>IF('Table 3a'!AL117="","",'Table 3a'!AL117)</f>
        <v>565151</v>
      </c>
      <c r="H110" s="646">
        <f>IF('Table 3a'!AO117="","",'Table 3a'!AO117)</f>
        <v>0</v>
      </c>
      <c r="I110" s="646">
        <f>IF('Table 3a'!AU117="","",'Table 3a'!AU117)</f>
        <v>227416</v>
      </c>
      <c r="J110" s="646">
        <f>IF('Table 3a'!AX117="","",'Table 3a'!AX117)</f>
        <v>9112</v>
      </c>
      <c r="K110" s="646">
        <f>IF('Table 3a'!BC117="","",'Table 3a'!BC117)</f>
        <v>227337</v>
      </c>
      <c r="L110" s="646">
        <f>IF('Table 3a'!BI117="","",'Table 3a'!BI117)</f>
        <v>198772</v>
      </c>
      <c r="M110" s="646">
        <f>IF('Table 3a'!BN117="","",'Table 3a'!BN117)</f>
        <v>290082</v>
      </c>
      <c r="N110" s="646">
        <f>IF('Table 3a'!BT117="","",'Table 3a'!BT117)</f>
        <v>266647</v>
      </c>
      <c r="O110" s="646">
        <f>IF('Table 3a'!BW117="","",'Table 3a'!BW117)</f>
        <v>-72794</v>
      </c>
      <c r="P110" s="646">
        <f>IF('Table 3a'!BX117="","",'Table 3a'!BX117)</f>
        <v>0</v>
      </c>
      <c r="Q110" s="646">
        <f t="shared" si="68"/>
        <v>4447124.6899999995</v>
      </c>
      <c r="R110" s="646">
        <f>IF('Table 3a'!AB117="","",'Table 3a'!AB117)</f>
        <v>1039</v>
      </c>
      <c r="S110" s="646">
        <f t="shared" si="69"/>
        <v>4280.197006737247</v>
      </c>
      <c r="T110" s="649" t="s">
        <v>642</v>
      </c>
      <c r="U110" s="649">
        <v>147070</v>
      </c>
      <c r="V110" s="649">
        <v>118824</v>
      </c>
      <c r="W110" s="651"/>
      <c r="X110" s="649">
        <v>388549.9263651698</v>
      </c>
      <c r="Y110" s="649">
        <v>219530.0736348302</v>
      </c>
      <c r="Z110" s="649">
        <v>13039</v>
      </c>
      <c r="AA110" s="649">
        <v>0</v>
      </c>
      <c r="AB110" s="649">
        <v>0</v>
      </c>
      <c r="AC110" s="649">
        <f t="shared" si="70"/>
        <v>236528</v>
      </c>
      <c r="AD110" s="646">
        <f>IF('Table 3a'!AA117="","",'Table 3a'!AA117)</f>
        <v>140</v>
      </c>
      <c r="AE110" s="652"/>
      <c r="AF110" s="653"/>
      <c r="AG110" s="654"/>
      <c r="AH110" s="655"/>
      <c r="AI110" s="656"/>
      <c r="AJ110" s="657"/>
      <c r="AK110" s="658"/>
      <c r="AL110" s="658"/>
      <c r="AM110" s="658"/>
      <c r="AN110" s="657"/>
      <c r="AO110" s="658"/>
      <c r="AP110" s="658"/>
      <c r="AQ110" s="658"/>
      <c r="AR110" s="682"/>
      <c r="AS110" s="660">
        <f t="shared" si="71"/>
      </c>
      <c r="AT110" s="660">
        <f>IF(OR(OR(AND(C110="",D110&lt;&gt;""),AND(C110&lt;&gt;"",D110="")),AND(OR(SUM(Q110)&lt;&gt;0,SUM(R110)&lt;&gt;0,AND(U110&lt;&gt;"",U110&lt;&gt;0),AND(V110&lt;&gt;"",V110&lt;&gt;0),AND(W110&lt;&gt;"",W110&lt;&gt;0),AND(X110&lt;&gt;"",X110&lt;&gt;0),AND(Y110&lt;&gt;"",Y110&lt;&gt;0),AND(Z110&lt;&gt;"",Z110&lt;&gt;0),AND(AA110&lt;&gt;"",AA110&lt;&gt;0),AND(AB110&lt;&gt;"",AB110&lt;&gt;0),AND(AC110&lt;&gt;"",AC110&lt;&gt;0),AND(AD110&lt;&gt;"",AD110&lt;&gt;0),AE110&lt;&gt;"",AF110&lt;&gt;""),OR(C110="",D110=""))),"Error 2.11",IF(AND(C110&lt;&gt;"",ISNUMBER(D110)=FALSE),"Error 1.2",IF(AND(C110&lt;&gt;"",'Table 3a'!D111-INT('Table 3a'!D111)&lt;&gt;0),"Error 2.1",IF(AND(C110&lt;&gt;"",OR(D110&lt;4000,AND(D110&gt;4899,D110&lt;5400),AND(D110&gt;5499,D110&lt;5900),D110&gt;5939)),"Error 2.4",IF(AND(C110&lt;&gt;"",COUNTIF(startdfes:enddfes,D110)&gt;1),"Warning 1.2","")))))</f>
      </c>
      <c r="AU110" s="660">
        <f>IF(AND(OR(E110="",E110=0),C110="",D110=""),"",IF(AND(OR(C110&lt;&gt;"",D110&lt;&gt;""),E110=""),"Error 4.10.2",IF(AND(E110&lt;&gt;"",ISNUMBER(E110)=FALSE),"Error 1.2",IF(E110&lt;=0,"Error 1.4",IF('Table 3a'!AC117&lt;&gt;'Table 3a'!CA117,"Warning 2.7","")))))</f>
      </c>
      <c r="AV110" s="660">
        <f t="shared" si="72"/>
      </c>
      <c r="AW110" s="660">
        <f t="shared" si="73"/>
      </c>
      <c r="AX110" s="660">
        <f t="shared" si="74"/>
      </c>
      <c r="AY110" s="660">
        <f t="shared" si="75"/>
      </c>
      <c r="AZ110" s="660">
        <f t="shared" si="76"/>
      </c>
      <c r="BA110" s="660">
        <f t="shared" si="77"/>
      </c>
      <c r="BB110" s="660">
        <f t="shared" si="78"/>
      </c>
      <c r="BC110" s="660">
        <f t="shared" si="79"/>
      </c>
      <c r="BD110" s="660">
        <f t="shared" si="80"/>
      </c>
      <c r="BE110" s="660">
        <f t="shared" si="81"/>
      </c>
      <c r="BF110" s="660">
        <f t="shared" si="82"/>
      </c>
      <c r="BG110" s="660">
        <f>IF(AND(OR(Q110="",Q110=0),C110="",D110=""),"",IF(AND(OR(C110&lt;&gt;"",D110&lt;&gt;""),Q110=""),"Error 4.10.2",IF(AND(Q110&lt;&gt;"",ISNUMBER(Q110)=FALSE),"Error 1.2",IF(AND(OR(Q110&lt;10000,Q110&gt;15000000)),"Error 3.2.2",IF(ABS(('Table 3a'!BY117*2)-'Table 3a'!BZ117)&gt;50,"Error 3.7","")))))</f>
      </c>
      <c r="BH110" s="660">
        <f t="shared" si="83"/>
      </c>
      <c r="BI110" s="660">
        <f t="shared" si="84"/>
      </c>
      <c r="BJ110" s="660">
        <f t="shared" si="85"/>
      </c>
      <c r="BK110" s="660">
        <f t="shared" si="86"/>
      </c>
      <c r="BL110" s="660">
        <f t="shared" si="87"/>
      </c>
      <c r="BM110" s="663"/>
      <c r="BN110" s="660">
        <f t="shared" si="88"/>
      </c>
      <c r="BO110" s="660">
        <f t="shared" si="89"/>
      </c>
      <c r="BP110" s="660">
        <f t="shared" si="90"/>
      </c>
      <c r="BQ110" s="660">
        <f t="shared" si="91"/>
      </c>
      <c r="BR110" s="660">
        <f t="shared" si="92"/>
      </c>
      <c r="BS110" s="660">
        <f t="shared" si="93"/>
      </c>
      <c r="BT110" s="660">
        <f t="shared" si="94"/>
      </c>
      <c r="BU110" s="660">
        <f t="shared" si="95"/>
      </c>
      <c r="BV110" s="660">
        <f t="shared" si="96"/>
      </c>
      <c r="BW110" s="605">
        <f t="shared" si="97"/>
        <v>0</v>
      </c>
      <c r="BX110" s="660">
        <f t="shared" si="98"/>
      </c>
      <c r="BY110" s="664"/>
      <c r="BZ110" s="664"/>
      <c r="CA110" s="665"/>
      <c r="CB110" s="665"/>
      <c r="CC110" s="666"/>
    </row>
    <row r="111" spans="3:111" ht="12.75">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I111" s="118"/>
      <c r="BC111" s="52"/>
      <c r="BD111" s="52"/>
      <c r="BE111" s="52"/>
      <c r="BF111" s="52"/>
      <c r="BJ111" s="669"/>
      <c r="BL111" s="15"/>
      <c r="BM111" s="154"/>
      <c r="BQ111" s="15"/>
      <c r="BT111" s="15"/>
      <c r="BW111" s="686"/>
      <c r="CA111" s="665"/>
      <c r="CB111" s="665"/>
      <c r="CC111" s="666"/>
      <c r="DG111" s="3">
        <f aca="true" t="shared" si="99" ref="DG111:DG126">IF(LEFT(BJ112,1)="W",1,0)</f>
        <v>0</v>
      </c>
    </row>
    <row r="112" spans="3:111" ht="12.75">
      <c r="C112" s="1033" t="s">
        <v>647</v>
      </c>
      <c r="D112" s="1033"/>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I112" s="118"/>
      <c r="AS112" s="667" t="str">
        <f>C112</f>
        <v>Middle Deemed Secondary Schools</v>
      </c>
      <c r="AT112" s="667"/>
      <c r="BC112" s="52"/>
      <c r="BD112" s="52"/>
      <c r="BE112" s="52"/>
      <c r="BF112" s="52"/>
      <c r="BJ112" s="680"/>
      <c r="BL112" s="15"/>
      <c r="BM112" s="154"/>
      <c r="BQ112" s="15"/>
      <c r="BT112" s="15"/>
      <c r="BW112" s="688"/>
      <c r="CA112" s="665"/>
      <c r="CB112" s="665"/>
      <c r="CC112" s="666"/>
      <c r="DG112" s="3">
        <f t="shared" si="99"/>
        <v>0</v>
      </c>
    </row>
    <row r="113" spans="2:111" ht="12.75">
      <c r="B113" s="645">
        <f>IF('Table 3a'!B122="","",'Table 3a'!B122)</f>
      </c>
      <c r="C113" s="644">
        <f>IF('Table 3a'!C122="","",'Table 3a'!C122)</f>
      </c>
      <c r="D113" s="645">
        <f>IF('Table 3a'!D122="","",'Table 3a'!D122)</f>
      </c>
      <c r="E113" s="646">
        <f>IF('Table 3a'!AC122="","",'Table 3a'!AC122)</f>
        <v>0</v>
      </c>
      <c r="F113" s="646">
        <f>IF('Table 3a'!AJ122="","",'Table 3a'!AJ122)</f>
        <v>0</v>
      </c>
      <c r="G113" s="646">
        <f>IF('Table 3a'!AL122="","",'Table 3a'!AL122)</f>
        <v>0</v>
      </c>
      <c r="H113" s="646">
        <f>IF('Table 3a'!AO122="","",'Table 3a'!AO122)</f>
        <v>0</v>
      </c>
      <c r="I113" s="646">
        <f>IF('Table 3a'!AU122="","",'Table 3a'!AU122)</f>
        <v>0</v>
      </c>
      <c r="J113" s="646">
        <f>IF('Table 3a'!AX122="","",'Table 3a'!AX122)</f>
        <v>0</v>
      </c>
      <c r="K113" s="646">
        <f>IF('Table 3a'!BC122="","",'Table 3a'!BC122)</f>
        <v>0</v>
      </c>
      <c r="L113" s="646">
        <f>IF('Table 3a'!BI122="","",'Table 3a'!BI122)</f>
        <v>0</v>
      </c>
      <c r="M113" s="646">
        <f>IF('Table 3a'!BN122="","",'Table 3a'!BN122)</f>
        <v>0</v>
      </c>
      <c r="N113" s="646">
        <f>IF('Table 3a'!BT122="","",'Table 3a'!BT122)</f>
        <v>0</v>
      </c>
      <c r="O113" s="646">
        <f>IF('Table 3a'!BW122="","",'Table 3a'!BW122)</f>
        <v>0</v>
      </c>
      <c r="P113" s="646">
        <f>IF('Table 3a'!BX122="","",'Table 3a'!BX122)</f>
      </c>
      <c r="Q113" s="646">
        <f>SUM(E113,F113,G113,H113,I113,J113,K113,L113,M113,N113,O113,P113)</f>
        <v>0</v>
      </c>
      <c r="R113" s="646">
        <f>IF('Table 3a'!AB122="","",'Table 3a'!AB122)</f>
        <v>0</v>
      </c>
      <c r="S113" s="646">
        <f>IF(R113=0,0,IF(ISERROR(Q113/R113),0,Q113/R113))</f>
        <v>0</v>
      </c>
      <c r="T113" s="649"/>
      <c r="U113" s="649"/>
      <c r="V113" s="649"/>
      <c r="W113" s="651"/>
      <c r="X113" s="649"/>
      <c r="Y113" s="649"/>
      <c r="Z113" s="649"/>
      <c r="AA113" s="649"/>
      <c r="AB113" s="649"/>
      <c r="AC113" s="649"/>
      <c r="AD113" s="646">
        <f>IF('Table 3a'!AA122="","",'Table 3a'!AA122)</f>
      </c>
      <c r="AE113" s="652"/>
      <c r="AF113" s="653"/>
      <c r="AG113" s="654"/>
      <c r="AH113" s="655"/>
      <c r="AI113" s="656"/>
      <c r="AJ113" s="657"/>
      <c r="AK113" s="658"/>
      <c r="AL113" s="658"/>
      <c r="AM113" s="658"/>
      <c r="AN113" s="657"/>
      <c r="AO113" s="658"/>
      <c r="AP113" s="658"/>
      <c r="AQ113" s="658"/>
      <c r="AR113" s="682"/>
      <c r="AS113" s="660">
        <f>IF(OR(OR(AND(C113="",D113&lt;&gt;""),AND(C113&lt;&gt;"",D113="")),AND(OR(SUM(Q113)&lt;&gt;0,SUM(R113)&lt;&gt;0,AND(U113&lt;&gt;"",U113&lt;&gt;0),AND(V113&lt;&gt;"",V113&lt;&gt;0),AND(W113&lt;&gt;"",W113&lt;&gt;0),AND(X113&lt;&gt;"",X113&lt;&gt;0),AND(Y113&lt;&gt;"",Y113&lt;&gt;0),AND(Z113&lt;&gt;"",Z113&lt;&gt;0),AND(AA113&lt;&gt;"",AA113&lt;&gt;0),AND(AB113&lt;&gt;"",AB113&lt;&gt;0),AND(AC113&lt;&gt;"",AC113&lt;&gt;0),AND(AD113&lt;&gt;"",AD113&lt;&gt;0),AE113&lt;&gt;"",AF113&lt;&gt;""),OR(C113="",D113=""))),"Error 2.11",IF(LEFT(C113,11)="Situated at","Error 2.12",""))</f>
      </c>
      <c r="AT113" s="660">
        <f>IF(OR(OR(AND(C113="",D113&lt;&gt;""),AND(C113&lt;&gt;"",D113="")),AND(OR(SUM(Q113)&lt;&gt;0,SUM(R113)&lt;&gt;0,AND(U113&lt;&gt;"",U113&lt;&gt;0),AND(V113&lt;&gt;"",V113&lt;&gt;0),AND(W113&lt;&gt;"",W113&lt;&gt;0),AND(X113&lt;&gt;"",X113&lt;&gt;0),AND(Y113&lt;&gt;"",Y113&lt;&gt;0),AND(Z113&lt;&gt;"",Z113&lt;&gt;0),AND(AA113&lt;&gt;"",AA113&lt;&gt;0),AND(AB113&lt;&gt;"",AB113&lt;&gt;0),AND(AC113&lt;&gt;"",AC113&lt;&gt;0),AND(AD113&lt;&gt;"",AD113&lt;&gt;0),AE113&lt;&gt;"",AF113&lt;&gt;""),OR(C113="",D113=""))),"Error 2.11",IF(AND(C113&lt;&gt;"",ISNUMBER(D113)=FALSE),"Error 1.2",IF(AND(C113&lt;&gt;"",'Table 3a'!D103-INT('Table 3a'!D103)&lt;&gt;0),"Error 2.1",IF(AND(C113&lt;&gt;"",OR(D113&lt;4000,AND(D113&gt;4899,D113&lt;5400),AND(D113&gt;5499,D113&lt;5900),D113&gt;5939)),"Error 2.4",IF(AND(C113&lt;&gt;"",COUNTIF(startdfes:enddfes,D113)&gt;1),"Warning 1.2","")))))</f>
      </c>
      <c r="AU113" s="660">
        <f>IF(AND(OR(E113="",E113=0),C113="",D113=""),"",IF(AND(OR(C113&lt;&gt;"",D113&lt;&gt;""),E113=""),"Error 4.10.2",IF(AND(E113&lt;&gt;"",ISNUMBER(E113)=FALSE),"Error 1.2",IF(E113&lt;=0,"Error 1.4",IF('Table 3a'!AC122&lt;&gt;'Table 3a'!CA122,"Warning 2.7","")))))</f>
      </c>
      <c r="AV113" s="660">
        <f>IF(AND(OR(F113="",F113=0),C113="",D113=""),"",IF(AND(OR(C113&lt;&gt;"",D113&lt;&gt;""),F113=""),"Error 4.10.2",IF(AND(F113&lt;&gt;"",ISNUMBER(F113)=FALSE),"Error 1.2",IF(F113&lt;0,"Error 1.3",""))))</f>
      </c>
      <c r="AW113" s="660">
        <f>IF(AND(OR(G113="",G113=0),C113="",D113=""),"",IF(AND(OR(C113&lt;&gt;"",D113&lt;&gt;""),G113=""),"Error 4.10.2",IF(AND(G113&lt;&gt;"",ISNUMBER(G113)=FALSE),"Error 1.2",IF(G113&lt;0,"Error 1.3",IF(AND(AD113&lt;&gt;"",AD113&gt;0,OR(G113="",G113=0)),"Error 3.7.2","")))))</f>
      </c>
      <c r="AX113" s="660">
        <f>IF(AND(OR(H113="",H113=0),C113="",D113=""),"",IF(AND(OR(C113&lt;&gt;"",D113&lt;&gt;""),H113=""),"Error 4.10.2",IF(AND(H113&lt;&gt;"",ISNUMBER(H113)=FALSE),"Error 1.2",IF(H113&lt;0,"Error 1.3",""))))</f>
      </c>
      <c r="AY113" s="660">
        <f>IF(AND(OR(I113="",I113=0),C113="",D113=""),"",IF(AND(OR(C113&lt;&gt;"",D113&lt;&gt;""),I113=""),"Error 4.10.2",IF(AND(I113&lt;&gt;"",ISNUMBER(I113)=FALSE),"Error 1.2",IF(I113=0,"Warning 2.4",IF(I113&lt;0,"Error 1.3","")))))</f>
      </c>
      <c r="AZ113" s="660">
        <f>IF(AND(OR(J113="",J113=0),C113="",D113=""),"",IF(AND(OR(C113&lt;&gt;"",D113&lt;&gt;""),J113=""),"Error 4.10.2",IF(AND(J113&lt;&gt;"",ISNUMBER(J113)=FALSE),"Error 1.2",IF(J113&lt;0,"Error 1.3",""))))</f>
      </c>
      <c r="BA113" s="660">
        <f>IF(AND(OR(K113="",K113=0),C113="",D113=""),"",IF(AND(OR(C113&lt;&gt;"",D113&lt;&gt;""),K113=""),"Error 4.10.2",IF(AND(K113&lt;&gt;"",ISNUMBER(K113)=FALSE),"Error 1.2",IF(K113&lt;0,"Error 1.3",""))))</f>
      </c>
      <c r="BB113" s="660">
        <f>IF(AND(OR(L113="",L113=0),C113="",D113=""),"",IF(AND(OR(C113&lt;&gt;"",D113&lt;&gt;""),L113=""),"Error 4.10.2",IF(AND(L113&lt;&gt;"",ISNUMBER(L113)=FALSE),"Error 1.2",IF(L113&lt;0,"Error 1.3",""))))</f>
      </c>
      <c r="BC113" s="660">
        <f>IF(AND(OR(M113="",M113=0),C113="",D113=""),"",IF(AND(OR(C113&lt;&gt;"",D113&lt;&gt;""),M113=""),"Error 4.10.2",IF(AND(M113&lt;&gt;"",ISNUMBER(M113)=FALSE),"Error 1.2",IF(M113&lt;0,"Error 1.3",""))))</f>
      </c>
      <c r="BD113" s="660">
        <f>IF(AND(OR(N113="",N113=0),C113="",D113=""),"",IF(AND(OR(C113&lt;&gt;"",D113&lt;&gt;""),N113=""),"Error 4.10.2",IF(AND(N113&lt;&gt;"",ISNUMBER(N113)=FALSE),"Error 1.2",IF(N113&lt;0,"Error 1.3",""))))</f>
      </c>
      <c r="BE113" s="660">
        <f>IF(AND(OR(O113="",O113=0),C113="",D113=""),"",IF(AND(OR(C113&lt;&gt;"",D113&lt;&gt;""),O113=""),"Error 4.10.2",IF(AND(O113&lt;&gt;"",ISNUMBER(O113)=FALSE),"Error 1.2","")))</f>
      </c>
      <c r="BF113" s="660">
        <f>IF(AND(OR(P113="",P113=0),C113="",D113=""),"",IF(AND(OR(C113&lt;&gt;"",D113&lt;&gt;""),P113=""),"Error 4.10.2",IF(AND(P113&lt;&gt;"",ISNUMBER(P113)=FALSE),"Error 1.2",IF(P113&lt;0,"Error 1.3",""))))</f>
      </c>
      <c r="BG113" s="660">
        <f>IF(AND(OR(Q113="",Q113=0),C113="",D113=""),"",IF(AND(OR(C113&lt;&gt;"",D113&lt;&gt;""),Q113=""),"Error 4.10.2",IF(AND(Q113&lt;&gt;"",ISNUMBER(Q113)=FALSE),"Error 1.2",IF(AND(OR(Q113&lt;10000,Q113&gt;15000000)),"Error 3.2.2",IF(ABS(('Table 3a'!BY122*2)-'Table 3a'!BZ122)&gt;50,"Error 3.7","")))))</f>
      </c>
      <c r="BH113" s="660">
        <f>IF(AND(OR(R113="",R113=0),C113="",D113=""),"",IF(AND(OR(C113&lt;&gt;"",D113&lt;&gt;""),R113=""),"Error 4.10.2",IF(AND(R113&lt;&gt;"",ISNUMBER(R113)=FALSE),"Error 1.2",IF(OR(R113&lt;1,R113&gt;5999),"Error 2.7",""))))</f>
      </c>
      <c r="BI113" s="660">
        <f>IF(AND(OR(S113="",S113=0),C113="",D113=""),"",IF(AND(OR(C113&lt;&gt;"",D113&lt;&gt;""),S113=""),"Error 4.10.2",IF(AND(S113&lt;&gt;"",ISNUMBER(S113)=FALSE),"Error 1.2",IF(S113&lt;=0,"Error 1.4",""))))</f>
      </c>
      <c r="BJ113" s="660">
        <f>IF(AND(T113="",C113="",D113=""),"",IF(AND(T113="",$H$1&lt;&gt;"*"),"",IF(AND(OR(C113&lt;&gt;"",D113&lt;&gt;""),AND(T113="",$H$1="*")),"Error 1.1",IF(AND(OR(C113&lt;&gt;"",D113&lt;&gt;""),AND(T113="",$H$1="*")),"Error 1.1",IF(AND(AND(T113&lt;&gt;"School Forum",T113&lt;&gt;"Secretary Of State",T113&lt;&gt;"No Variation Applied"),OR(C113&lt;&gt;"",D113&lt;&gt;"")),"Error 3.9",IF(AND(OR(T113="School Forum",T113="Secretary Of State"),($DG$187="NO")),"Warning 2.6",""))))))</f>
      </c>
      <c r="BK113" s="660">
        <f>IF(AND(U113="",C113="",D113=""),"",IF(AND(U113="",$H$1&lt;&gt;"*"),"",IF(AND(OR(C113&lt;&gt;"",D113&lt;&gt;""),AND(U113="",$H$1="*")),"Error 1.1",IF(AND(U113&lt;&gt;"",ISNUMBER(U113)=FALSE),"Error 1.2",IF(U113&lt;0,"Error 1.3",IF(U113&gt;=1000000,"Error 3.4.1",""))))))</f>
      </c>
      <c r="BL113" s="660">
        <f>IF(AND(V113="",C113="",D113=""),"",IF(AND(V113="",$H$1&lt;&gt;"*"),"",IF(AND(OR(C113&lt;&gt;"",D113&lt;&gt;""),AND(V113="",$H$1="*")),"Error 1.1",IF(AND(V113&lt;&gt;"",ISNUMBER(V113)=FALSE),"Error 1.2",IF(V113&lt;0,"Error 1.3",IF(V113&gt;=500000,"Error 3.4.2",""))))))</f>
      </c>
      <c r="BM113" s="663"/>
      <c r="BN113" s="660">
        <f>IF(AND(X113="",C113="",D113=""),"",IF(AND(X113="",$H$1&lt;&gt;"*"),"",IF(AND(OR(C113&lt;&gt;"",D113&lt;&gt;""),AND(X113="",$H$1="*")),"Error 1.1",IF(AND(X113&lt;&gt;"",ISNUMBER(X113)=FALSE),"Error 1.2",IF(X113&lt;0,"Error 1.3",IF(X113&gt;=3000000,"Error 3.4.3",""))))))</f>
      </c>
      <c r="BO113" s="660">
        <f>IF(AND(Y113="",C113="",D113=""),"",IF(AND(Y113="",$H$1&lt;&gt;"*"),"",IF(AND(OR(C113&lt;&gt;"",D113&lt;&gt;""),AND(Y113="",$H$1="*")),"Error 1.1",IF(AND(Y113&lt;&gt;"",ISNUMBER(Y113)=FALSE),"Error 1.2",IF(Y113&lt;0,"Error 1.3",IF(Y113&gt;=3000000,"Error 3.4.3",""))))))</f>
      </c>
      <c r="BP113" s="660">
        <f>IF(AND(Z113="",C113="",D113=""),"",IF(AND(Z113="",$H$1&lt;&gt;"*"),"",IF(AND(OR(C113&lt;&gt;"",D113&lt;&gt;""),AND(Z113="",$H$1="*")),"Error 1.1",IF(AND(Z113&lt;&gt;"",ISNUMBER(Z113)=FALSE),"Error 1.2",IF(Z113&lt;0,"Error 1.3",IF(Z113&gt;=1000000,"Error 3.4.4",""))))))</f>
      </c>
      <c r="BQ113" s="660">
        <f>IF(AND(AA113="",C113="",D113=""),"",IF(AND(AA113="",$H$1&lt;&gt;"*"),"",IF(AND(OR(C113&lt;&gt;"",D113&lt;&gt;""),AND(AA113="",$H$1="*")),"Error 1.1",IF(AND(AA113&lt;&gt;"",ISNUMBER(AA113)=FALSE),"Error 1.2",IF(AA113&lt;0,"Error 1.3",IF(AA113&gt;=1000000,"Error 3.4.5",""))))))</f>
      </c>
      <c r="BR113" s="660">
        <f>IF(AND(AB113="",C113="",D113=""),"",IF(AND(AB113="",$H$1&lt;&gt;"*"),"",IF(AND(OR(C113&lt;&gt;"",D113&lt;&gt;""),AND(AB113="",$H$1="*")),"Error 1.1",IF(AND(AB113&lt;&gt;"",ISNUMBER(AB113)=FALSE),"Error 1.2",IF(AB113&lt;0,"Error 1.3",IF(AB113&gt;=1000000,"Error 3.4.6",""))))))</f>
      </c>
      <c r="BS113" s="660">
        <f>IF(AND(AC113="",C113="",D113=""),"",IF(AND(AC113="",$H$1&lt;&gt;"*"),"",IF(AND(OR(C113&lt;&gt;"",D113&lt;&gt;""),AND(AC113="",$H$1="*")),"Error 1.1",IF(AND(AC113&lt;&gt;"",ISNUMBER(AC113)=FALSE),"Error 1.2",IF(AC113&lt;=0,"Error 1.4",IF(BX113&lt;&gt;"",BX113,""))))))</f>
      </c>
      <c r="BT113" s="660">
        <f>IF(AND(AD113="",C113="",D113=""),"",IF(AND(AD113="",$H$1&lt;&gt;"*"),"",IF(AND(OR(C113&lt;&gt;"",D113&lt;&gt;""),AND(AD113="",$H$1="*")),"Error 1.1",IF(AND(AD113&lt;&gt;"",ISNUMBER(AD113)=FALSE),"Error 1.2",IF(AD113&lt;0,"Error 1.3",IF(AND(G113&lt;&gt;"",G113&gt;0,OR(AD113="",AD113=0)),"Error 3.5.1",""))))))</f>
      </c>
      <c r="BU113" s="660">
        <f>IF(AND(AE113&lt;&gt;"",UPPER(AE113)&lt;&gt;"C",UPPER(AE113)&lt;&gt;"O"),"Error 2.8","")</f>
      </c>
      <c r="BV113" s="660">
        <f>IF(AND(AE113="",AF113=""),"",IF(AND(AE113&lt;&gt;"",AF113=""),"Error 2.9.1",IF(AND(AE113="",AF113&lt;&gt;""),"Error 2.9.1",IF(ISNUMBER(AF113)&lt;&gt;TRUE,"Error 2.9.1",IF(AND(AE113&lt;&gt;"",R113&gt;0,(OR(AF113&lt;DATE(2010,4,1),AF113&gt;DATE(2011,3,31)))),"Error 2.10.2","")))))</f>
      </c>
      <c r="BW113" s="605">
        <f>IF(LEN(TRIM(AS113&amp;AT113&amp;AU113&amp;AV113&amp;AW113&amp;AX113&amp;AY113&amp;AZ113&amp;BA113&amp;BB113&amp;BC113&amp;BD113&amp;BE113&amp;BF113&amp;BG113&amp;BH113&amp;BI113&amp;BJ113&amp;BK113&amp;BL113&amp;BM113&amp;BN113&amp;BO113&amp;BP113&amp;BQ113&amp;BR113&amp;BS113&amp;BT113&amp;BU113&amp;BV113))&gt;0,1,0)</f>
        <v>0</v>
      </c>
      <c r="BX113" s="660">
        <f>IF(AND(AC113&lt;&gt;"",AC113&gt;=Q113),"Error 3.3.1",IF(AND(AC113&lt;&gt;"",AC113&lt;SUM(I113,J113)),"Error 3.3.2",""))</f>
      </c>
      <c r="BY113" s="664"/>
      <c r="BZ113" s="664"/>
      <c r="CA113" s="665"/>
      <c r="CB113" s="665"/>
      <c r="CC113" s="666"/>
      <c r="DG113" s="3">
        <f t="shared" si="99"/>
        <v>0</v>
      </c>
    </row>
    <row r="114" spans="23:111" ht="13.5" thickBot="1">
      <c r="W114" s="52"/>
      <c r="BJ114" s="15"/>
      <c r="BL114" s="15"/>
      <c r="BQ114" s="15"/>
      <c r="BT114" s="15"/>
      <c r="CC114" s="666"/>
      <c r="DG114" s="3">
        <f t="shared" si="99"/>
        <v>0</v>
      </c>
    </row>
    <row r="115" spans="3:111" ht="12.75" customHeight="1" thickBot="1" thickTop="1">
      <c r="C115" s="985" t="s">
        <v>648</v>
      </c>
      <c r="D115" s="985"/>
      <c r="E115" s="671">
        <f aca="true" t="shared" si="100" ref="E115:L115">SUM(E99:E114)</f>
        <v>40144774.89</v>
      </c>
      <c r="F115" s="671">
        <f t="shared" si="100"/>
        <v>0</v>
      </c>
      <c r="G115" s="671">
        <f t="shared" si="100"/>
        <v>5029418</v>
      </c>
      <c r="H115" s="671">
        <f t="shared" si="100"/>
        <v>0</v>
      </c>
      <c r="I115" s="671">
        <f t="shared" si="100"/>
        <v>3176368</v>
      </c>
      <c r="J115" s="671">
        <f t="shared" si="100"/>
        <v>165468</v>
      </c>
      <c r="K115" s="671">
        <f t="shared" si="100"/>
        <v>1597511</v>
      </c>
      <c r="L115" s="671">
        <f t="shared" si="100"/>
        <v>1037264</v>
      </c>
      <c r="M115" s="671">
        <f aca="true" t="shared" si="101" ref="M115:R115">SUM(M99:M114)</f>
        <v>3764949</v>
      </c>
      <c r="N115" s="671">
        <f t="shared" si="101"/>
        <v>3160417</v>
      </c>
      <c r="O115" s="671">
        <f t="shared" si="101"/>
        <v>-470366</v>
      </c>
      <c r="P115" s="671">
        <f t="shared" si="101"/>
        <v>0</v>
      </c>
      <c r="Q115" s="671">
        <f t="shared" si="101"/>
        <v>57605803.88999999</v>
      </c>
      <c r="R115" s="671">
        <f t="shared" si="101"/>
        <v>14247</v>
      </c>
      <c r="S115" s="671">
        <f>IF(R115=0,0,IF(ISERROR(Q115/R115),0,Q115/R115))</f>
        <v>4043.3637881659292</v>
      </c>
      <c r="T115" s="691"/>
      <c r="U115" s="671">
        <f aca="true" t="shared" si="102" ref="U115:AD115">SUM(U99:U114)</f>
        <v>2000641.1827900715</v>
      </c>
      <c r="V115" s="671">
        <f t="shared" si="102"/>
        <v>954770</v>
      </c>
      <c r="W115" s="673"/>
      <c r="X115" s="671">
        <f t="shared" si="102"/>
        <v>2053755.6809209925</v>
      </c>
      <c r="Y115" s="671">
        <f t="shared" si="102"/>
        <v>2474941.3190790075</v>
      </c>
      <c r="Z115" s="671">
        <f t="shared" si="102"/>
        <v>166375</v>
      </c>
      <c r="AA115" s="671">
        <f t="shared" si="102"/>
        <v>0</v>
      </c>
      <c r="AB115" s="671">
        <f t="shared" si="102"/>
        <v>0</v>
      </c>
      <c r="AC115" s="671">
        <f t="shared" si="102"/>
        <v>3341836</v>
      </c>
      <c r="AD115" s="671">
        <f t="shared" si="102"/>
        <v>988</v>
      </c>
      <c r="AE115" s="675"/>
      <c r="AF115" s="675"/>
      <c r="AG115" s="675"/>
      <c r="AH115" s="676"/>
      <c r="AI115" s="675"/>
      <c r="AJ115" s="675"/>
      <c r="AK115" s="675"/>
      <c r="AL115" s="675"/>
      <c r="AM115" s="675"/>
      <c r="AN115" s="675"/>
      <c r="AO115" s="675"/>
      <c r="AS115" s="1033" t="str">
        <f>C115</f>
        <v>(33) Total/average Secondary Schools</v>
      </c>
      <c r="AT115" s="1033"/>
      <c r="AU115" s="677">
        <f>IF(ROUND(E115,5)=ROUND('Table 3a'!AC126,5),'Table 3a'!AC126,"Error 4.10.5")</f>
        <v>40144774.89</v>
      </c>
      <c r="AV115" s="677">
        <f>IF(ROUND(F115,5)=ROUND('Table 3a'!AJ126,5),'Table 3a'!AJ126,"Error 4.10.5")</f>
        <v>0</v>
      </c>
      <c r="AW115" s="677">
        <f>IF(ROUND(G115,5)=ROUND('Table 3a'!AL126,5),'Table 3a'!AL126,"Error 4.10.5")</f>
        <v>5029418</v>
      </c>
      <c r="AX115" s="677">
        <f>IF(ROUND(H115,5)=ROUND('Table 3a'!AO126,5),'Table 3a'!AO126,"Error 4.10.5")</f>
        <v>0</v>
      </c>
      <c r="AY115" s="677">
        <f>IF(ROUND(I115,5)=ROUND('Table 3a'!AU126,5),'Table 3a'!AU126,"Error 4.10.5")</f>
        <v>3176368</v>
      </c>
      <c r="AZ115" s="677">
        <f>IF(ROUND(J115,5)=ROUND('Table 3a'!AX126,5),'Table 3a'!AX126,"Error 4.10.5")</f>
        <v>165468</v>
      </c>
      <c r="BA115" s="677">
        <f>IF(ROUND(K115,5)=ROUND('Table 3a'!BC126,5),'Table 3a'!BC126,"Error 4.10.5")</f>
        <v>1597511</v>
      </c>
      <c r="BB115" s="677">
        <f>IF(ROUND(L115,5)=ROUND('Table 3a'!BI126,5),'Table 3a'!BI126,"Error 4.10.5")</f>
        <v>1037264</v>
      </c>
      <c r="BC115" s="677">
        <f>IF(ROUND(M115,5)=ROUND('Table 3a'!BN126,5),'Table 3a'!BN126,"Error 4.10.5")</f>
        <v>3764949</v>
      </c>
      <c r="BD115" s="677">
        <f>IF(ROUND(N115,5)=ROUND('Table 3a'!BT126,5),'Table 3a'!BT126,"Error 4.10.5")</f>
        <v>3160417</v>
      </c>
      <c r="BE115" s="677">
        <f>IF(ROUND(O115,5)=ROUND('Table 3a'!BW126,5),'Table 3a'!BW126,"Error 4.10.5")</f>
        <v>-470366</v>
      </c>
      <c r="BF115" s="677">
        <f>IF(ROUND(P115,5)=ROUND('Table 3a'!BX126,5),'Table 3a'!BX126,"Error 4.10.5")</f>
        <v>0</v>
      </c>
      <c r="BG115" s="677">
        <f>IF(ROUND(Q115,5)=ROUND('Table 3a'!BY126,5),'Table 3a'!BY126,"Error 4.10.5")</f>
        <v>57605803.88999999</v>
      </c>
      <c r="BH115" s="677">
        <f>IF(ROUND(R115,5)=ROUND('Table 3a'!AB126,5),'Table 3a'!AB126,"Error 4.10.5")</f>
        <v>14247</v>
      </c>
      <c r="BI115" s="678"/>
      <c r="BJ115" s="256"/>
      <c r="BK115" s="660">
        <f>IF(AND(U115="",$H$1&lt;&gt;"*"),"",IF(AND(U115="",$H$1="*"),"Error 1.1",IF(ISNUMBER(U115)=FALSE,"Error 1.2",IF(ABS(U115-'Table 1'!K13)&gt;1000,"Error 4.2.3",""))))</f>
      </c>
      <c r="BL115" s="660">
        <f>IF(AND(V115="",$H$1&lt;&gt;"*"),"",IF(AND(V115="",$H$1="*"),"Error 1.1",IF(ISNUMBER(V115)=FALSE,"Error 1.2",IF(ABS(V115-'Table 1'!K15)&gt;1000,"Error 4.3.2",""))))</f>
      </c>
      <c r="BM115" s="663"/>
      <c r="BN115" s="660">
        <f>IF(AND(X115="",$H$1&lt;&gt;"*"),"",IF(AND(X115="",$H$1="*"),"Error 1.1",IF(ISNUMBER(X115)=FALSE,"Error 1.2",IF(ABS(X115+Y115)&gt;('Table 1'!K17+1000),"Error 4.4.3",""))))</f>
      </c>
      <c r="BO115" s="660">
        <f>IF(AND(Y115="",$H$1&lt;&gt;"*"),"",IF(AND(Y115="",$H$1="*"),"Error 1.1",IF(ISNUMBER(Y115)=FALSE,"Error 1.2",IF(ABS(X115+Y115)&gt;('Table 1'!K17+1000),"Error 4.4.3",""))))</f>
      </c>
      <c r="BP115" s="660">
        <f>IF(AND(Z115="",$H$1&lt;&gt;"*"),"",IF(AND(Z115="",$H$1="*"),"Error 1.1",IF(ISNUMBER(Z115)=FALSE,"Error 1.2",IF(ABS(Z115)&gt;('Table 1'!K18+1000),"Error 4.5.3",""))))</f>
      </c>
      <c r="BQ115" s="660">
        <f>IF(AND(AA115="",$H$1&lt;&gt;"*"),"",IF(AND(AA115="",$H$1="*"),"Error 1.1",IF(ISNUMBER(AA115)=FALSE,"Error 1.2",IF(ABS(AA115)&gt;('Table 1'!K19+1000),"Error 4.6.3",""))))</f>
      </c>
      <c r="BR115" s="660">
        <f>IF(AND(AB115="",$H$1&lt;&gt;"*"),"",IF(AND(AB115="",$H$1="*"),"Error 1.1",IF(ISNUMBER(AB115)=FALSE,"Error 1.2",IF(ABS(AB115)&gt;('Table 1'!K22+1000),"Error 4.12.3",""))))</f>
      </c>
      <c r="BS115" s="256"/>
      <c r="BT115" s="256"/>
      <c r="BW115" s="605">
        <f>IF(OR(LEFT(AU115,1)="E",LEFT(AV115,1)="E",LEFT(AW115,1)="E",LEFT(AX115,1)="E",LEFT(AY115,1)="E",LEFT(AZ115,1)="E",LEFT(BA115,1)="E",LEFT(BB115,1)="E",LEFT(BC115,1)="E",LEFT(BD115,1)="E",LEFT(BE115,1)="E",LEFT(BF115,1)="E",LEFT(BG115,1)="E",LEFT(BH115,1)="E",LEFT(BK115,1)="E",LEFT(BL115,1)="E",LEFT(BM115,1)="E",LEFT(BN115,1)="E",LEFT(BO115,1)="E",LEFT(BP115,1)="E",LEFT(BQ115,1)="E",LEFT(BR115,1)="E"),1,0)</f>
        <v>0</v>
      </c>
      <c r="CC115" s="666"/>
      <c r="DG115" s="3">
        <f t="shared" si="99"/>
        <v>0</v>
      </c>
    </row>
    <row r="116" spans="9:111" ht="13.5" thickTop="1">
      <c r="I116" s="154"/>
      <c r="T116" s="154"/>
      <c r="W116" s="52"/>
      <c r="BQ116" s="15"/>
      <c r="BT116" s="15"/>
      <c r="CC116" s="666"/>
      <c r="DG116" s="3">
        <f t="shared" si="99"/>
        <v>0</v>
      </c>
    </row>
    <row r="117" spans="3:111" ht="12.75">
      <c r="C117" s="1049" t="s">
        <v>396</v>
      </c>
      <c r="D117" s="1050"/>
      <c r="E117" s="978" t="s">
        <v>649</v>
      </c>
      <c r="F117" s="978" t="s">
        <v>650</v>
      </c>
      <c r="G117" s="983"/>
      <c r="H117" s="978" t="s">
        <v>607</v>
      </c>
      <c r="I117" s="1000"/>
      <c r="J117" s="1006"/>
      <c r="K117" s="1000"/>
      <c r="L117" s="978" t="str">
        <f aca="true" t="shared" si="103" ref="L117:Q117">L9</f>
        <v>(10)
Total AEN -Social Need</v>
      </c>
      <c r="M117" s="971" t="str">
        <f t="shared" si="103"/>
        <v>(11)
Total Site-specific factors  (Including pupil-led)       </v>
      </c>
      <c r="N117" s="971" t="str">
        <f t="shared" si="103"/>
        <v>(12)
Total School-specific factors (including pupil-led) </v>
      </c>
      <c r="O117" s="971" t="str">
        <f t="shared" si="103"/>
        <v>(13)
Total budget adjustments</v>
      </c>
      <c r="P117" s="1055" t="str">
        <f t="shared" si="103"/>
        <v>(14)
Minimum funding guarantee </v>
      </c>
      <c r="Q117" s="1057" t="str">
        <f t="shared" si="103"/>
        <v>(15) TOTAL BUDGET SHARE</v>
      </c>
      <c r="R117" s="1058"/>
      <c r="S117" s="1059"/>
      <c r="T117" s="963"/>
      <c r="U117" s="1020" t="s">
        <v>617</v>
      </c>
      <c r="V117" s="1021"/>
      <c r="W117" s="1021"/>
      <c r="X117" s="1021"/>
      <c r="Y117" s="1021"/>
      <c r="Z117" s="1021"/>
      <c r="AA117" s="1021"/>
      <c r="AB117" s="1021"/>
      <c r="AC117" s="1021"/>
      <c r="AD117" s="1021"/>
      <c r="AE117" s="1021"/>
      <c r="AF117" s="1022"/>
      <c r="AG117" s="694"/>
      <c r="AH117" s="695"/>
      <c r="AI117" s="694"/>
      <c r="AJ117" s="624"/>
      <c r="AK117" s="624"/>
      <c r="AL117" s="624"/>
      <c r="AM117" s="624"/>
      <c r="AN117" s="624"/>
      <c r="AO117" s="624"/>
      <c r="AP117" s="154"/>
      <c r="AQ117" s="154"/>
      <c r="AS117" s="1027" t="str">
        <f>C117</f>
        <v>Special schools</v>
      </c>
      <c r="AT117" s="1028"/>
      <c r="AU117" s="981" t="str">
        <f>E117</f>
        <v> (3)
Total place-led funding</v>
      </c>
      <c r="AV117" s="981" t="str">
        <f>F117</f>
        <v>(4)
Total Pupil-led Funding</v>
      </c>
      <c r="AW117" s="696"/>
      <c r="AX117" s="981" t="str">
        <f>H117</f>
        <v>(6)
Total AEN- Learning needs associated with EAL</v>
      </c>
      <c r="AY117" s="697"/>
      <c r="AZ117" s="698"/>
      <c r="BA117" s="699"/>
      <c r="BB117" s="981" t="str">
        <f aca="true" t="shared" si="104" ref="BB117:BG117">L117</f>
        <v>(10)
Total AEN -Social Need</v>
      </c>
      <c r="BC117" s="981" t="str">
        <f t="shared" si="104"/>
        <v>(11)
Total Site-specific factors  (Including pupil-led)       </v>
      </c>
      <c r="BD117" s="981" t="str">
        <f t="shared" si="104"/>
        <v>(12)
Total School-specific factors (including pupil-led) </v>
      </c>
      <c r="BE117" s="981" t="str">
        <f t="shared" si="104"/>
        <v>(13)
Total budget adjustments</v>
      </c>
      <c r="BF117" s="981" t="str">
        <f t="shared" si="104"/>
        <v>(14)
Minimum funding guarantee </v>
      </c>
      <c r="BG117" s="1093" t="str">
        <f t="shared" si="104"/>
        <v>(15) TOTAL BUDGET SHARE</v>
      </c>
      <c r="BH117" s="1094"/>
      <c r="BI117" s="1095"/>
      <c r="BJ117" s="700"/>
      <c r="BK117" s="1020" t="str">
        <f>U117</f>
        <v>Memorandum Items</v>
      </c>
      <c r="BL117" s="1021"/>
      <c r="BM117" s="1021"/>
      <c r="BN117" s="1021"/>
      <c r="BO117" s="1021"/>
      <c r="BP117" s="1021"/>
      <c r="BQ117" s="1021"/>
      <c r="BR117" s="1021"/>
      <c r="BS117" s="1021"/>
      <c r="BT117" s="1021"/>
      <c r="BU117" s="1021"/>
      <c r="BV117" s="1022"/>
      <c r="CC117" s="666"/>
      <c r="DG117" s="3">
        <f t="shared" si="99"/>
        <v>0</v>
      </c>
    </row>
    <row r="118" spans="3:111" ht="12.75">
      <c r="C118" s="1051"/>
      <c r="D118" s="1052"/>
      <c r="E118" s="979"/>
      <c r="F118" s="979"/>
      <c r="G118" s="983"/>
      <c r="H118" s="979"/>
      <c r="I118" s="1000"/>
      <c r="J118" s="1006"/>
      <c r="K118" s="1000"/>
      <c r="L118" s="979"/>
      <c r="M118" s="972"/>
      <c r="N118" s="972"/>
      <c r="O118" s="972"/>
      <c r="P118" s="1056"/>
      <c r="Q118" s="1060"/>
      <c r="R118" s="930"/>
      <c r="S118" s="1061"/>
      <c r="T118" s="963"/>
      <c r="U118" s="1020" t="s">
        <v>618</v>
      </c>
      <c r="V118" s="1021"/>
      <c r="W118" s="1021"/>
      <c r="X118" s="1021"/>
      <c r="Y118" s="1021"/>
      <c r="Z118" s="1021"/>
      <c r="AA118" s="1022"/>
      <c r="AB118" s="1020" t="s">
        <v>619</v>
      </c>
      <c r="AC118" s="1021"/>
      <c r="AD118" s="1021"/>
      <c r="AE118" s="1021"/>
      <c r="AF118" s="1022"/>
      <c r="AG118" s="694"/>
      <c r="AH118" s="695"/>
      <c r="AI118" s="694"/>
      <c r="AJ118" s="624"/>
      <c r="AK118" s="624"/>
      <c r="AL118" s="624"/>
      <c r="AM118" s="624"/>
      <c r="AN118" s="624"/>
      <c r="AO118" s="624"/>
      <c r="AP118" s="154"/>
      <c r="AQ118" s="154"/>
      <c r="AS118" s="1029"/>
      <c r="AT118" s="1030"/>
      <c r="AU118" s="1026"/>
      <c r="AV118" s="1026"/>
      <c r="AW118" s="696"/>
      <c r="AX118" s="1026"/>
      <c r="AY118" s="701"/>
      <c r="AZ118" s="698"/>
      <c r="BA118" s="702"/>
      <c r="BB118" s="1026"/>
      <c r="BC118" s="1026"/>
      <c r="BD118" s="1026"/>
      <c r="BE118" s="1026"/>
      <c r="BF118" s="1026"/>
      <c r="BG118" s="1096"/>
      <c r="BH118" s="1097"/>
      <c r="BI118" s="1098"/>
      <c r="BJ118" s="700"/>
      <c r="BK118" s="1020" t="str">
        <f>U118</f>
        <v>Grants</v>
      </c>
      <c r="BL118" s="1021"/>
      <c r="BM118" s="1021"/>
      <c r="BN118" s="1021"/>
      <c r="BO118" s="1021"/>
      <c r="BP118" s="1021"/>
      <c r="BQ118" s="1022"/>
      <c r="BR118" s="1020" t="str">
        <f>AB118</f>
        <v>Other</v>
      </c>
      <c r="BS118" s="1021"/>
      <c r="BT118" s="1021"/>
      <c r="BU118" s="1021"/>
      <c r="BV118" s="1022"/>
      <c r="CC118" s="666"/>
      <c r="DG118" s="3">
        <f t="shared" si="99"/>
        <v>0</v>
      </c>
    </row>
    <row r="119" spans="3:111" ht="20.25" customHeight="1">
      <c r="C119" s="1051"/>
      <c r="D119" s="1052"/>
      <c r="E119" s="979"/>
      <c r="F119" s="979"/>
      <c r="G119" s="983"/>
      <c r="H119" s="979"/>
      <c r="I119" s="1000"/>
      <c r="J119" s="1006"/>
      <c r="K119" s="1000"/>
      <c r="L119" s="979"/>
      <c r="M119" s="972"/>
      <c r="N119" s="972"/>
      <c r="O119" s="972"/>
      <c r="P119" s="1056"/>
      <c r="Q119" s="1060"/>
      <c r="R119" s="930"/>
      <c r="S119" s="1061"/>
      <c r="T119" s="963"/>
      <c r="U119" s="978" t="str">
        <f>U11</f>
        <v>(19)
SCHOOL STANDARDS GRANT</v>
      </c>
      <c r="V119" s="978" t="str">
        <f aca="true" t="shared" si="105" ref="V119:AB119">V11</f>
        <v>(20)
SCHOOL
STANDARDS
GRANT (PERSONALISATION)</v>
      </c>
      <c r="W119" s="1070"/>
      <c r="X119" s="978" t="str">
        <f t="shared" si="105"/>
        <v>(22)
SCHOOL DEVELOPMENT GRANT - MAIN 2010-11</v>
      </c>
      <c r="Y119" s="978" t="str">
        <f t="shared" si="105"/>
        <v>(23)
SCHOOL DEVELOPMENT GRANT - OTHER 2010-11</v>
      </c>
      <c r="Z119" s="978" t="str">
        <f t="shared" si="105"/>
        <v>(24)
OTHER STANDARDS FUND ALLOCATION          </v>
      </c>
      <c r="AA119" s="978" t="str">
        <f t="shared" si="105"/>
        <v>(25)
THRESHOLD AND PERFORMANCE PAY</v>
      </c>
      <c r="AB119" s="978" t="str">
        <f t="shared" si="105"/>
        <v>(26)
SUPPORT FOR SCHOOLS IN FINANCIAL DIFFICULTY</v>
      </c>
      <c r="AC119" s="1115"/>
      <c r="AD119" s="1068"/>
      <c r="AE119" s="981" t="str">
        <f>AE11</f>
        <v>(29)
SCHOOL OPENING / CLOSING</v>
      </c>
      <c r="AF119" s="981" t="str">
        <f>AF11</f>
        <v>(30) 
DATE OPENING / CLOSING</v>
      </c>
      <c r="AG119" s="692"/>
      <c r="AH119" s="698"/>
      <c r="AI119" s="692"/>
      <c r="AJ119" s="1092"/>
      <c r="AK119" s="1092"/>
      <c r="AL119" s="1092"/>
      <c r="AM119" s="1092"/>
      <c r="AN119" s="1092"/>
      <c r="AO119" s="1092"/>
      <c r="AP119" s="1092"/>
      <c r="AQ119" s="154"/>
      <c r="AS119" s="1029"/>
      <c r="AT119" s="1030"/>
      <c r="AU119" s="1026"/>
      <c r="AV119" s="1026"/>
      <c r="AW119" s="696"/>
      <c r="AX119" s="1026"/>
      <c r="AY119" s="701"/>
      <c r="AZ119" s="698"/>
      <c r="BA119" s="702"/>
      <c r="BB119" s="1026"/>
      <c r="BC119" s="1026"/>
      <c r="BD119" s="1026"/>
      <c r="BE119" s="1026"/>
      <c r="BF119" s="1026"/>
      <c r="BG119" s="1096"/>
      <c r="BH119" s="1097"/>
      <c r="BI119" s="1098"/>
      <c r="BJ119" s="700"/>
      <c r="BK119" s="981" t="str">
        <f>U119</f>
        <v>(19)
SCHOOL STANDARDS GRANT</v>
      </c>
      <c r="BL119" s="981" t="str">
        <f aca="true" t="shared" si="106" ref="BL119:BQ119">V119</f>
        <v>(20)
SCHOOL
STANDARDS
GRANT (PERSONALISATION)</v>
      </c>
      <c r="BM119" s="981"/>
      <c r="BN119" s="981" t="str">
        <f t="shared" si="106"/>
        <v>(22)
SCHOOL DEVELOPMENT GRANT - MAIN 2010-11</v>
      </c>
      <c r="BO119" s="981" t="str">
        <f t="shared" si="106"/>
        <v>(23)
SCHOOL DEVELOPMENT GRANT - OTHER 2010-11</v>
      </c>
      <c r="BP119" s="981" t="str">
        <f t="shared" si="106"/>
        <v>(24)
OTHER STANDARDS FUND ALLOCATION          </v>
      </c>
      <c r="BQ119" s="981" t="str">
        <f t="shared" si="106"/>
        <v>(25)
THRESHOLD AND PERFORMANCE PAY</v>
      </c>
      <c r="BR119" s="981" t="str">
        <f>AB119</f>
        <v>(26)
SUPPORT FOR SCHOOLS IN FINANCIAL DIFFICULTY</v>
      </c>
      <c r="BS119" s="703"/>
      <c r="BT119" s="704"/>
      <c r="BU119" s="981" t="str">
        <f>AE119</f>
        <v>(29)
SCHOOL OPENING / CLOSING</v>
      </c>
      <c r="BV119" s="981" t="str">
        <f>AF119</f>
        <v>(30) 
DATE OPENING / CLOSING</v>
      </c>
      <c r="CC119" s="666"/>
      <c r="DG119" s="3">
        <f t="shared" si="99"/>
        <v>0</v>
      </c>
    </row>
    <row r="120" spans="3:111" ht="35.25" customHeight="1">
      <c r="C120" s="1051"/>
      <c r="D120" s="1052"/>
      <c r="E120" s="979"/>
      <c r="F120" s="979"/>
      <c r="G120" s="983"/>
      <c r="H120" s="979"/>
      <c r="I120" s="1000"/>
      <c r="J120" s="1006"/>
      <c r="K120" s="1000"/>
      <c r="L120" s="979"/>
      <c r="M120" s="972"/>
      <c r="N120" s="972"/>
      <c r="O120" s="972"/>
      <c r="P120" s="1056"/>
      <c r="Q120" s="1060"/>
      <c r="R120" s="930"/>
      <c r="S120" s="1061"/>
      <c r="T120" s="963"/>
      <c r="U120" s="979"/>
      <c r="V120" s="979"/>
      <c r="W120" s="1071"/>
      <c r="X120" s="979"/>
      <c r="Y120" s="979"/>
      <c r="Z120" s="979"/>
      <c r="AA120" s="979"/>
      <c r="AB120" s="979"/>
      <c r="AC120" s="1116"/>
      <c r="AD120" s="1069"/>
      <c r="AE120" s="1019"/>
      <c r="AF120" s="1019"/>
      <c r="AG120" s="692"/>
      <c r="AH120" s="698"/>
      <c r="AI120" s="692"/>
      <c r="AJ120" s="1092"/>
      <c r="AK120" s="1092"/>
      <c r="AL120" s="1092"/>
      <c r="AM120" s="1092"/>
      <c r="AN120" s="1092"/>
      <c r="AO120" s="1092"/>
      <c r="AP120" s="1092"/>
      <c r="AQ120" s="154"/>
      <c r="AS120" s="1029"/>
      <c r="AT120" s="1030"/>
      <c r="AU120" s="1026"/>
      <c r="AV120" s="1026"/>
      <c r="AW120" s="696"/>
      <c r="AX120" s="1026"/>
      <c r="AY120" s="701"/>
      <c r="AZ120" s="698"/>
      <c r="BA120" s="702"/>
      <c r="BB120" s="1026"/>
      <c r="BC120" s="1026"/>
      <c r="BD120" s="1026"/>
      <c r="BE120" s="1026"/>
      <c r="BF120" s="1026"/>
      <c r="BG120" s="1096"/>
      <c r="BH120" s="1097"/>
      <c r="BI120" s="1098"/>
      <c r="BJ120" s="700"/>
      <c r="BK120" s="1019"/>
      <c r="BL120" s="1019"/>
      <c r="BM120" s="1019"/>
      <c r="BN120" s="1019"/>
      <c r="BO120" s="1019"/>
      <c r="BP120" s="1019"/>
      <c r="BQ120" s="1019"/>
      <c r="BR120" s="1019"/>
      <c r="BS120" s="696"/>
      <c r="BT120" s="705"/>
      <c r="BU120" s="1019"/>
      <c r="BV120" s="1019"/>
      <c r="CC120" s="666"/>
      <c r="DG120" s="3">
        <f t="shared" si="99"/>
        <v>0</v>
      </c>
    </row>
    <row r="121" spans="3:111" ht="35.25" customHeight="1">
      <c r="C121" s="1051"/>
      <c r="D121" s="1052"/>
      <c r="E121" s="979"/>
      <c r="F121" s="979"/>
      <c r="G121" s="983"/>
      <c r="H121" s="979"/>
      <c r="I121" s="1000"/>
      <c r="J121" s="1006"/>
      <c r="K121" s="1000"/>
      <c r="L121" s="979"/>
      <c r="M121" s="972"/>
      <c r="N121" s="972"/>
      <c r="O121" s="972"/>
      <c r="P121" s="1056"/>
      <c r="Q121" s="1060"/>
      <c r="R121" s="930"/>
      <c r="S121" s="1061"/>
      <c r="T121" s="963"/>
      <c r="U121" s="979"/>
      <c r="V121" s="979"/>
      <c r="W121" s="1071"/>
      <c r="X121" s="979"/>
      <c r="Y121" s="979"/>
      <c r="Z121" s="979"/>
      <c r="AA121" s="979"/>
      <c r="AB121" s="979"/>
      <c r="AC121" s="1116"/>
      <c r="AD121" s="1069"/>
      <c r="AE121" s="1019"/>
      <c r="AF121" s="1019"/>
      <c r="AG121" s="692"/>
      <c r="AH121" s="698"/>
      <c r="AI121" s="692"/>
      <c r="AJ121" s="1092"/>
      <c r="AK121" s="1092"/>
      <c r="AL121" s="1092"/>
      <c r="AM121" s="1092"/>
      <c r="AN121" s="1092"/>
      <c r="AO121" s="1092"/>
      <c r="AP121" s="1092"/>
      <c r="AQ121" s="154"/>
      <c r="AS121" s="1029"/>
      <c r="AT121" s="1030"/>
      <c r="AU121" s="1026"/>
      <c r="AV121" s="1026"/>
      <c r="AW121" s="696"/>
      <c r="AX121" s="1026"/>
      <c r="AY121" s="701"/>
      <c r="AZ121" s="698"/>
      <c r="BA121" s="702"/>
      <c r="BB121" s="1026"/>
      <c r="BC121" s="1026"/>
      <c r="BD121" s="1026"/>
      <c r="BE121" s="1026"/>
      <c r="BF121" s="1026"/>
      <c r="BG121" s="1096"/>
      <c r="BH121" s="1097"/>
      <c r="BI121" s="1098"/>
      <c r="BJ121" s="700"/>
      <c r="BK121" s="1019"/>
      <c r="BL121" s="1019"/>
      <c r="BM121" s="1019"/>
      <c r="BN121" s="1019"/>
      <c r="BO121" s="1019"/>
      <c r="BP121" s="1019"/>
      <c r="BQ121" s="1019"/>
      <c r="BR121" s="1019"/>
      <c r="BS121" s="696"/>
      <c r="BT121" s="705"/>
      <c r="BU121" s="1019"/>
      <c r="BV121" s="1019"/>
      <c r="CC121" s="666"/>
      <c r="DG121" s="3">
        <f t="shared" si="99"/>
        <v>0</v>
      </c>
    </row>
    <row r="122" spans="3:111" ht="34.5" customHeight="1">
      <c r="C122" s="1051"/>
      <c r="D122" s="1052"/>
      <c r="E122" s="979"/>
      <c r="F122" s="979"/>
      <c r="G122" s="983"/>
      <c r="H122" s="979"/>
      <c r="I122" s="1000"/>
      <c r="J122" s="1006"/>
      <c r="K122" s="1000"/>
      <c r="L122" s="979"/>
      <c r="M122" s="972"/>
      <c r="N122" s="972"/>
      <c r="O122" s="972"/>
      <c r="P122" s="1056"/>
      <c r="Q122" s="1060"/>
      <c r="R122" s="930"/>
      <c r="S122" s="1061"/>
      <c r="T122" s="963"/>
      <c r="U122" s="979"/>
      <c r="V122" s="979"/>
      <c r="W122" s="1071"/>
      <c r="X122" s="979"/>
      <c r="Y122" s="979"/>
      <c r="Z122" s="979"/>
      <c r="AA122" s="979"/>
      <c r="AB122" s="979"/>
      <c r="AC122" s="1116"/>
      <c r="AD122" s="1069"/>
      <c r="AE122" s="1019"/>
      <c r="AF122" s="1019"/>
      <c r="AG122" s="692"/>
      <c r="AH122" s="698"/>
      <c r="AI122" s="692"/>
      <c r="AJ122" s="1092"/>
      <c r="AK122" s="1092"/>
      <c r="AL122" s="1092"/>
      <c r="AM122" s="1092"/>
      <c r="AN122" s="1092"/>
      <c r="AO122" s="1092"/>
      <c r="AP122" s="1092"/>
      <c r="AQ122" s="154"/>
      <c r="AS122" s="1029"/>
      <c r="AT122" s="1030"/>
      <c r="AU122" s="1026"/>
      <c r="AV122" s="1026"/>
      <c r="AW122" s="696"/>
      <c r="AX122" s="1026"/>
      <c r="AY122" s="701"/>
      <c r="AZ122" s="698"/>
      <c r="BA122" s="702"/>
      <c r="BB122" s="1026"/>
      <c r="BC122" s="1026"/>
      <c r="BD122" s="1026"/>
      <c r="BE122" s="1026"/>
      <c r="BF122" s="1026"/>
      <c r="BG122" s="1096"/>
      <c r="BH122" s="1097"/>
      <c r="BI122" s="1098"/>
      <c r="BJ122" s="700"/>
      <c r="BK122" s="1019"/>
      <c r="BL122" s="1019"/>
      <c r="BM122" s="1019"/>
      <c r="BN122" s="1019"/>
      <c r="BO122" s="1019"/>
      <c r="BP122" s="1019"/>
      <c r="BQ122" s="1019"/>
      <c r="BR122" s="1019"/>
      <c r="BS122" s="696"/>
      <c r="BT122" s="705"/>
      <c r="BU122" s="1019"/>
      <c r="BV122" s="1019"/>
      <c r="CC122" s="666"/>
      <c r="DG122" s="3">
        <f t="shared" si="99"/>
        <v>0</v>
      </c>
    </row>
    <row r="123" spans="3:111" ht="33.75" customHeight="1">
      <c r="C123" s="1053"/>
      <c r="D123" s="1054"/>
      <c r="E123" s="980"/>
      <c r="F123" s="980"/>
      <c r="G123" s="983"/>
      <c r="H123" s="980"/>
      <c r="I123" s="1000"/>
      <c r="J123" s="1006"/>
      <c r="K123" s="1000"/>
      <c r="L123" s="980"/>
      <c r="M123" s="972"/>
      <c r="N123" s="972"/>
      <c r="O123" s="972"/>
      <c r="P123" s="1056"/>
      <c r="Q123" s="1060"/>
      <c r="R123" s="1062"/>
      <c r="S123" s="1063"/>
      <c r="T123" s="963"/>
      <c r="U123" s="980"/>
      <c r="V123" s="980"/>
      <c r="W123" s="1071"/>
      <c r="X123" s="980"/>
      <c r="Y123" s="980"/>
      <c r="Z123" s="980"/>
      <c r="AA123" s="980"/>
      <c r="AB123" s="980"/>
      <c r="AC123" s="1116"/>
      <c r="AD123" s="1069"/>
      <c r="AE123" s="982"/>
      <c r="AF123" s="982"/>
      <c r="AG123" s="692"/>
      <c r="AH123" s="698"/>
      <c r="AI123" s="692"/>
      <c r="AJ123" s="1092"/>
      <c r="AK123" s="1092"/>
      <c r="AL123" s="1092"/>
      <c r="AM123" s="1092"/>
      <c r="AN123" s="1092"/>
      <c r="AO123" s="1092"/>
      <c r="AP123" s="1092"/>
      <c r="AQ123" s="154"/>
      <c r="AS123" s="1031"/>
      <c r="AT123" s="1032"/>
      <c r="AU123" s="1026"/>
      <c r="AV123" s="1026"/>
      <c r="AW123" s="696"/>
      <c r="AX123" s="1026"/>
      <c r="AY123" s="701"/>
      <c r="AZ123" s="698"/>
      <c r="BA123" s="702"/>
      <c r="BB123" s="1026"/>
      <c r="BC123" s="1026"/>
      <c r="BD123" s="1026"/>
      <c r="BE123" s="1026"/>
      <c r="BF123" s="1026"/>
      <c r="BG123" s="1096"/>
      <c r="BH123" s="1097"/>
      <c r="BI123" s="1098"/>
      <c r="BJ123" s="700"/>
      <c r="BK123" s="982"/>
      <c r="BL123" s="982"/>
      <c r="BM123" s="1019"/>
      <c r="BN123" s="982"/>
      <c r="BO123" s="982"/>
      <c r="BP123" s="982"/>
      <c r="BQ123" s="982"/>
      <c r="BR123" s="982"/>
      <c r="BS123" s="696"/>
      <c r="BT123" s="705"/>
      <c r="BU123" s="982"/>
      <c r="BV123" s="982"/>
      <c r="CC123" s="666"/>
      <c r="DG123" s="3">
        <f t="shared" si="99"/>
        <v>0</v>
      </c>
    </row>
    <row r="124" spans="3:111" ht="12.75" customHeight="1">
      <c r="C124" s="978" t="s">
        <v>416</v>
      </c>
      <c r="D124" s="978" t="s">
        <v>417</v>
      </c>
      <c r="E124" s="1003" t="s">
        <v>419</v>
      </c>
      <c r="F124" s="1003" t="s">
        <v>419</v>
      </c>
      <c r="G124" s="983"/>
      <c r="H124" s="981" t="s">
        <v>419</v>
      </c>
      <c r="I124" s="1005"/>
      <c r="J124" s="1006"/>
      <c r="K124" s="1005"/>
      <c r="L124" s="971" t="s">
        <v>419</v>
      </c>
      <c r="M124" s="971" t="s">
        <v>419</v>
      </c>
      <c r="N124" s="971" t="s">
        <v>419</v>
      </c>
      <c r="O124" s="971" t="s">
        <v>419</v>
      </c>
      <c r="P124" s="971" t="s">
        <v>419</v>
      </c>
      <c r="Q124" s="964" t="s">
        <v>419</v>
      </c>
      <c r="R124" s="978" t="str">
        <f>R16</f>
        <v>(16)                        January 2010 Pupil Count (FTE registered pupils)</v>
      </c>
      <c r="S124" s="978" t="str">
        <f>S16</f>
        <v>(17)
£ per pupil</v>
      </c>
      <c r="T124" s="1064"/>
      <c r="U124" s="981" t="s">
        <v>419</v>
      </c>
      <c r="V124" s="981" t="s">
        <v>419</v>
      </c>
      <c r="W124" s="1019"/>
      <c r="X124" s="981" t="s">
        <v>419</v>
      </c>
      <c r="Y124" s="981" t="s">
        <v>419</v>
      </c>
      <c r="Z124" s="981" t="s">
        <v>419</v>
      </c>
      <c r="AA124" s="981" t="s">
        <v>419</v>
      </c>
      <c r="AB124" s="981" t="s">
        <v>419</v>
      </c>
      <c r="AC124" s="962"/>
      <c r="AD124" s="963"/>
      <c r="AE124" s="981" t="s">
        <v>636</v>
      </c>
      <c r="AF124" s="981" t="s">
        <v>651</v>
      </c>
      <c r="AG124" s="638"/>
      <c r="AH124" s="640"/>
      <c r="AI124" s="638"/>
      <c r="AJ124" s="1092"/>
      <c r="AK124" s="1092"/>
      <c r="AL124" s="632"/>
      <c r="AM124" s="632"/>
      <c r="AN124" s="632"/>
      <c r="AO124" s="632"/>
      <c r="AP124" s="955"/>
      <c r="AQ124" s="154"/>
      <c r="AS124" s="1070" t="str">
        <f>C124</f>
        <v>(1) School name</v>
      </c>
      <c r="AT124" s="1070" t="str">
        <f>D124</f>
        <v>(2) DCSF number</v>
      </c>
      <c r="AU124" s="981" t="s">
        <v>419</v>
      </c>
      <c r="AV124" s="981" t="s">
        <v>419</v>
      </c>
      <c r="AW124" s="696"/>
      <c r="AX124" s="981" t="s">
        <v>419</v>
      </c>
      <c r="AY124" s="697"/>
      <c r="AZ124" s="698"/>
      <c r="BA124" s="699"/>
      <c r="BB124" s="981" t="s">
        <v>419</v>
      </c>
      <c r="BC124" s="981" t="s">
        <v>419</v>
      </c>
      <c r="BD124" s="981" t="s">
        <v>419</v>
      </c>
      <c r="BE124" s="981" t="s">
        <v>419</v>
      </c>
      <c r="BF124" s="981" t="s">
        <v>419</v>
      </c>
      <c r="BG124" s="1088"/>
      <c r="BH124" s="1090" t="str">
        <f>R124</f>
        <v>(16)                        January 2010 Pupil Count (FTE registered pupils)</v>
      </c>
      <c r="BI124" s="981" t="str">
        <f>S124</f>
        <v>(17)
£ per pupil</v>
      </c>
      <c r="BJ124" s="706"/>
      <c r="BK124" s="981" t="str">
        <f>U124</f>
        <v>£</v>
      </c>
      <c r="BL124" s="981" t="str">
        <f>V124</f>
        <v>£</v>
      </c>
      <c r="BM124" s="1019"/>
      <c r="BN124" s="981" t="str">
        <f>X124</f>
        <v>£</v>
      </c>
      <c r="BO124" s="981" t="str">
        <f>Y124</f>
        <v>£</v>
      </c>
      <c r="BP124" s="981" t="str">
        <f>Z124</f>
        <v>£</v>
      </c>
      <c r="BQ124" s="981" t="str">
        <f>AA124</f>
        <v>£</v>
      </c>
      <c r="BR124" s="981" t="str">
        <f>AB124</f>
        <v>£</v>
      </c>
      <c r="BT124" s="52"/>
      <c r="BU124" s="981" t="str">
        <f>AE124</f>
        <v>C OR O</v>
      </c>
      <c r="BV124" s="981" t="str">
        <f>AF124</f>
        <v>dd mm yy</v>
      </c>
      <c r="CC124" s="666"/>
      <c r="DG124" s="3">
        <f t="shared" si="99"/>
        <v>0</v>
      </c>
    </row>
    <row r="125" spans="3:111" ht="12.75">
      <c r="C125" s="980"/>
      <c r="D125" s="980"/>
      <c r="E125" s="1004"/>
      <c r="F125" s="1004"/>
      <c r="G125" s="983"/>
      <c r="H125" s="982"/>
      <c r="I125" s="1005"/>
      <c r="J125" s="1006"/>
      <c r="K125" s="1005"/>
      <c r="L125" s="1004"/>
      <c r="M125" s="1004"/>
      <c r="N125" s="1004"/>
      <c r="O125" s="1004"/>
      <c r="P125" s="1004"/>
      <c r="Q125" s="965"/>
      <c r="R125" s="980"/>
      <c r="S125" s="980"/>
      <c r="T125" s="1064"/>
      <c r="U125" s="982"/>
      <c r="V125" s="982"/>
      <c r="W125" s="1019"/>
      <c r="X125" s="982"/>
      <c r="Y125" s="982"/>
      <c r="Z125" s="982"/>
      <c r="AA125" s="982"/>
      <c r="AB125" s="982"/>
      <c r="AC125" s="962"/>
      <c r="AD125" s="963"/>
      <c r="AE125" s="982"/>
      <c r="AF125" s="982"/>
      <c r="AG125" s="638"/>
      <c r="AH125" s="640"/>
      <c r="AI125" s="638"/>
      <c r="AJ125" s="1092"/>
      <c r="AK125" s="1092"/>
      <c r="AL125" s="632"/>
      <c r="AM125" s="632"/>
      <c r="AN125" s="632"/>
      <c r="AO125" s="632"/>
      <c r="AP125" s="955"/>
      <c r="AQ125" s="154"/>
      <c r="AS125" s="1091"/>
      <c r="AT125" s="1091"/>
      <c r="AU125" s="1023"/>
      <c r="AV125" s="1023"/>
      <c r="AW125" s="696"/>
      <c r="AX125" s="1023"/>
      <c r="AY125" s="701"/>
      <c r="AZ125" s="698"/>
      <c r="BA125" s="702"/>
      <c r="BB125" s="982"/>
      <c r="BC125" s="982"/>
      <c r="BD125" s="982"/>
      <c r="BE125" s="1023"/>
      <c r="BF125" s="1023"/>
      <c r="BG125" s="1089"/>
      <c r="BH125" s="1089"/>
      <c r="BI125" s="982"/>
      <c r="BJ125" s="706"/>
      <c r="BK125" s="982"/>
      <c r="BL125" s="982"/>
      <c r="BM125" s="1019"/>
      <c r="BN125" s="982"/>
      <c r="BO125" s="982"/>
      <c r="BP125" s="982"/>
      <c r="BQ125" s="982"/>
      <c r="BR125" s="982"/>
      <c r="BT125" s="52"/>
      <c r="BU125" s="982"/>
      <c r="BV125" s="982"/>
      <c r="CC125" s="666"/>
      <c r="DG125" s="3">
        <f t="shared" si="99"/>
        <v>0</v>
      </c>
    </row>
    <row r="126" spans="7:111" ht="12.75">
      <c r="G126" s="52"/>
      <c r="H126" s="52"/>
      <c r="I126" s="154"/>
      <c r="T126" s="52"/>
      <c r="W126" s="52"/>
      <c r="AJ126" s="154"/>
      <c r="AK126" s="154"/>
      <c r="AL126" s="154"/>
      <c r="AM126" s="154"/>
      <c r="AN126" s="154"/>
      <c r="AO126" s="154"/>
      <c r="AP126" s="154"/>
      <c r="AQ126" s="154"/>
      <c r="AS126" s="707"/>
      <c r="AT126" s="707"/>
      <c r="BT126" s="52"/>
      <c r="CC126" s="666"/>
      <c r="DG126" s="3">
        <f t="shared" si="99"/>
        <v>0</v>
      </c>
    </row>
    <row r="127" spans="2:111" ht="12.75">
      <c r="B127" s="645">
        <f>IF('Table 3b'!A18="","",'Table 3b'!A18)</f>
        <v>2</v>
      </c>
      <c r="C127" s="644" t="str">
        <f>IF('Table 3b'!B18="","",'Table 3b'!B18)</f>
        <v>Hazel Oak School</v>
      </c>
      <c r="D127" s="645">
        <f>IF('Table 3b'!C18="","",'Table 3b'!C18)</f>
        <v>7001</v>
      </c>
      <c r="E127" s="646">
        <f>IF('Table 3b'!O18="","",'Table 3b'!O18)</f>
        <v>999689.6120000001</v>
      </c>
      <c r="F127" s="646">
        <f>IF('Table 3b'!Q18="","",'Table 3b'!Q18)</f>
        <v>0</v>
      </c>
      <c r="G127" s="657"/>
      <c r="H127" s="646">
        <f>IF('Table 3b'!S18="","",'Table 3b'!S18)</f>
        <v>0</v>
      </c>
      <c r="I127" s="154"/>
      <c r="K127" s="708"/>
      <c r="L127" s="646">
        <f>IF('Table 3b'!W18="","",'Table 3b'!W18)</f>
        <v>8092</v>
      </c>
      <c r="M127" s="646">
        <f>IF('Table 3b'!AA18="","",'Table 3b'!AA18)</f>
        <v>47387</v>
      </c>
      <c r="N127" s="646">
        <f>IF('Table 3b'!AE18="","",'Table 3b'!AE18)</f>
        <v>185331</v>
      </c>
      <c r="O127" s="646">
        <f>IF('Table 3b'!AG18="","",'Table 3b'!AG18)</f>
        <v>0</v>
      </c>
      <c r="P127" s="646">
        <f>IF('Table 3b'!AH18="","",'Table 3b'!AH18)</f>
        <v>0</v>
      </c>
      <c r="Q127" s="646">
        <f>SUM(E127,F127,G127,H127,I127,J127,K127,L127,M127,N127,O127,P127)</f>
        <v>1240499.6120000002</v>
      </c>
      <c r="R127" s="646">
        <f>IF('Table 3b'!N18="","",'Table 3b'!N18)</f>
        <v>111.42</v>
      </c>
      <c r="S127" s="646">
        <f>IF(R127=0,0,IF(ISERROR(Q127/R127),0,Q127/R127))</f>
        <v>11133.545252198888</v>
      </c>
      <c r="T127" s="651"/>
      <c r="U127" s="649">
        <v>43903</v>
      </c>
      <c r="V127" s="649">
        <v>5692</v>
      </c>
      <c r="W127" s="651"/>
      <c r="X127" s="649">
        <v>42313</v>
      </c>
      <c r="Y127" s="649">
        <v>0</v>
      </c>
      <c r="Z127" s="649">
        <v>0</v>
      </c>
      <c r="AA127" s="649">
        <v>0</v>
      </c>
      <c r="AB127" s="649">
        <v>0</v>
      </c>
      <c r="AE127" s="652"/>
      <c r="AF127" s="653"/>
      <c r="AG127" s="654"/>
      <c r="AH127" s="655"/>
      <c r="AI127" s="709"/>
      <c r="AJ127" s="657"/>
      <c r="AK127" s="658"/>
      <c r="AL127" s="658"/>
      <c r="AM127" s="658"/>
      <c r="AN127" s="657"/>
      <c r="AO127" s="658"/>
      <c r="AP127" s="658"/>
      <c r="AQ127" s="710"/>
      <c r="AR127" s="682"/>
      <c r="AS127" s="660">
        <f>IF(OR(OR(AND(C127="",D127&lt;&gt;""),AND(C127&lt;&gt;"",D127="")),AND(OR(SUM(Q127)&lt;&gt;0,SUM(R127)&lt;&gt;0,AND(U127&lt;&gt;"",U127&lt;&gt;0),AND(V127&lt;&gt;"",V127&lt;&gt;0),AND(W127&lt;&gt;"",W127&lt;&gt;0),AND(X127&lt;&gt;"",X127&lt;&gt;0),AND(Y127&lt;&gt;"",Y127&lt;&gt;0),AND(Z127&lt;&gt;"",Z127&lt;&gt;0),AND(AA127&lt;&gt;"",AA127&lt;&gt;0),AND(AB127&lt;&gt;"",AB127&lt;&gt;0),AND(AC127&lt;&gt;"",AC127&lt;&gt;0),AND(AD127&lt;&gt;"",AD127&lt;&gt;0),AE127&lt;&gt;"",AF127&lt;&gt;""),OR(C127="",D127=""))),"Error 2.11",IF(LEFT(C127,11)="Situated at","Error 2.12",""))</f>
      </c>
      <c r="AT127" s="660">
        <f>IF(OR(OR(AND(C127="",D127&lt;&gt;""),AND(C127&lt;&gt;"",D127="")),AND(OR(SUM(Q127)&lt;&gt;0,SUM(R127)&lt;&gt;0,AND(U127&lt;&gt;"",U127&lt;&gt;0),AND(V127&lt;&gt;"",V127&lt;&gt;0),AND(W127&lt;&gt;"",W127&lt;&gt;0),AND(X127&lt;&gt;"",X127&lt;&gt;0),AND(Y127&lt;&gt;"",Y127&lt;&gt;0),AND(Z127&lt;&gt;"",Z127&lt;&gt;0),AND(AA127&lt;&gt;"",AA127&lt;&gt;0),AND(AB127&lt;&gt;"",AB127&lt;&gt;0),AND(AC127&lt;&gt;"",AC127&lt;&gt;0),AND(AD127&lt;&gt;"",AD127&lt;&gt;0),AE127&lt;&gt;"",AF127&lt;&gt;""),OR(C127="",D127=""))),"Error 2.11",IF(AND(C127&lt;&gt;"",ISNUMBER(D127)=FALSE),"Error 1.2",IF(AND(C127&lt;&gt;"",'Table 3a'!D128-INT('Table 3a'!D128)&lt;&gt;0),"Error 2.1",IF(AND(C127&lt;&gt;"",OR(D127&lt;5950,AND(D127&gt;5999,D127&lt;7000),D127&gt;7999)),"Error 2.5",IF(AND(C127&lt;&gt;"",COUNTIF(startdfes:enddfes,D127)&gt;1),"Warning 1.2","")))))</f>
      </c>
      <c r="AU127" s="660">
        <f>IF(AND(OR(E127="",E127=0),C127="",D127=""),"",IF(AND(OR(C127&lt;&gt;"",D127&lt;&gt;""),E127=""),"Error 4.10.2",IF(AND(E127&lt;&gt;"",ISNUMBER(E127)=FALSE),"Error 1.2",IF(E127&lt;=0,"Error 1.4",IF('Table 3b'!O18&lt;&gt;'Table 3b'!AK18,"Warning 2.7","")))))</f>
      </c>
      <c r="AV127" s="660">
        <f>IF(AND(OR(F127="",F127=0),C127="",D127=""),"",IF(AND(OR(C127&lt;&gt;"",D127&lt;&gt;""),F127=""),"Error 4.10.2",IF(AND(F127&lt;&gt;"",ISNUMBER(F127)=FALSE),"Error 1.2",IF(F127&lt;0,"Error 1.3",""))))</f>
      </c>
      <c r="AW127" s="711"/>
      <c r="AX127" s="660">
        <f>IF(AND(OR(H127="",H127=0),C127="",D127=""),"",IF(AND(OR(C127&lt;&gt;"",D127&lt;&gt;""),H127=""),"Error 4.10.2",IF(AND(H127&lt;&gt;"",ISNUMBER(H127)=FALSE),"Error 1.2",IF(H127&lt;0,"Error 1.3",""))))</f>
      </c>
      <c r="AY127" s="711"/>
      <c r="AZ127" s="712"/>
      <c r="BA127" s="682"/>
      <c r="BB127" s="660">
        <f>IF(AND(OR(L127="",L127=0),C127="",D127=""),"",IF(AND(OR(C127&lt;&gt;"",D127&lt;&gt;""),L127=""),"Error 4.10.2",IF(AND(L127&lt;&gt;"",ISNUMBER(L127)=FALSE),"Error 1.2",IF(L127&lt;0,"Error 1.3",""))))</f>
      </c>
      <c r="BC127" s="660">
        <f>IF(AND(OR(M127="",M127=0),C127="",D127=""),"",IF(AND(OR(C127&lt;&gt;"",D127&lt;&gt;""),M127=""),"Error 4.10.2",IF(AND(M127&lt;&gt;"",ISNUMBER(M127)=FALSE),"Error 1.2",IF(M127&lt;0,"Error 1.3",""))))</f>
      </c>
      <c r="BD127" s="660">
        <f>IF(AND(OR(N127="",N127=0),C127="",D127=""),"",IF(AND(OR(C127&lt;&gt;"",D127&lt;&gt;""),N127=""),"Error 4.10.2",IF(AND(N127&lt;&gt;"",ISNUMBER(N127)=FALSE),"Error 1.2",IF(N127&lt;0,"Error 1.3",""))))</f>
      </c>
      <c r="BE127" s="660">
        <f>IF(AND(OR(O127="",O127=0),C127="",D127=""),"",IF(AND(OR(C127&lt;&gt;"",D127&lt;&gt;""),O127=""),"Error 4.10.2",IF(AND(O127&lt;&gt;"",ISNUMBER(O127)=FALSE),"Error 1.2","")))</f>
      </c>
      <c r="BF127" s="660">
        <f>IF(AND(OR(P127="",P127=0),C127="",D127=""),"",IF(AND(OR(C127&lt;&gt;"",D127&lt;&gt;""),P127=""),"Error 4.10.2",IF(AND(P127&lt;&gt;"",ISNUMBER(P127)=FALSE),"Error 1.2",IF(P127&lt;0,"Error 1.3",""))))</f>
      </c>
      <c r="BG127" s="660">
        <f>IF(AND(OR(Q127="",Q127=0),C127="",D127=""),"",IF(AND(OR(C127&lt;&gt;"",D127&lt;&gt;""),Q127=""),"Error 4.10.2",IF(AND(Q127&lt;&gt;"",ISNUMBER(Q127)=FALSE),"Error 1.2",IF(AND(OR(Q127&lt;10000,Q127&gt;10000000)),"Error 3.2.1",IF(ABS(('Table 3b'!AI18*2)-'Table 3b'!AJ18)&gt;50,"Error 3.7","")))))</f>
      </c>
      <c r="BH127" s="660">
        <f>IF(AND(OR(R127="",R127=0),C127="",D127=""),"",IF(AND(OR(C127&lt;&gt;"",D127&lt;&gt;""),R127=""),"Error 4.10.2",IF(AND(R127&lt;&gt;"",ISNUMBER(R127)=FALSE),"Error 1.2",IF(OR(R127&lt;1,R127&gt;2999),"Error 2.6",""))))</f>
      </c>
      <c r="BI127" s="660">
        <f>IF(AND(OR(S127="",S127=0),C127="",D127=""),"",IF(AND(OR(C127&lt;&gt;"",D127&lt;&gt;""),S127=""),"Error 4.10.2",IF(AND(S127&lt;&gt;"",ISNUMBER(S127)=FALSE),"Error 1.2",IF(S127&lt;=0,"Error 1.4",""))))</f>
      </c>
      <c r="BJ127" s="713"/>
      <c r="BK127" s="660">
        <f>IF(AND(U127="",C127="",D127=""),"",IF(AND(U127="",$H$1&lt;&gt;"*"),"",IF(AND(OR(C127&lt;&gt;"",D127&lt;&gt;""),AND(U127="",$H$1="*")),"Error 1.1",IF(AND(U127&lt;&gt;"",ISNUMBER(U127)=FALSE),"Error 1.2",IF(U127&lt;0,"Error 1.3",IF(U127&gt;=500000,"Error 3.4.1",""))))))</f>
      </c>
      <c r="BL127" s="660">
        <f>IF(AND(V127="",C127="",D127=""),"",IF(AND(V127="",$H$1&lt;&gt;"*"),"",IF(AND(OR(C127&lt;&gt;"",D127&lt;&gt;""),AND(V127="",$H$1="*")),"Error 1.1",IF(AND(V127&lt;&gt;"",ISNUMBER(V127)=FALSE),"Error 1.2",IF(V127&lt;0,"Error 1.3",IF(V127&gt;=500000,"Error 3.4.2",""))))))</f>
      </c>
      <c r="BM127" s="663"/>
      <c r="BN127" s="660">
        <f aca="true" t="shared" si="107" ref="BN127:BO131">IF(AND(X127="",D127="",E127=""),"",IF(AND(X127="",$H$1&lt;&gt;"*"),"",IF(AND(OR(D127&lt;&gt;"",E127&lt;&gt;""),AND(X127="",$H$1="*")),"Error 1.1",IF(AND(X127&lt;&gt;"",ISNUMBER(X127)=FALSE),"Error 1.2",IF(X127&lt;0,"Error 1.3",IF(X127&gt;=1000000,"Error 3.4.3",""))))))</f>
      </c>
      <c r="BO127" s="660">
        <f t="shared" si="107"/>
      </c>
      <c r="BP127" s="660">
        <f>IF(AND(Z127="",F127="",G127=""),"",IF(AND(Z127="",$H$1&lt;&gt;"*"),"",IF(AND(OR(F127&lt;&gt;"",G127&lt;&gt;""),AND(Z127="",$H$1="*")),"Error 1.1",IF(AND(Z127&lt;&gt;"",ISNUMBER(Z127)=FALSE),"Error 1.2",IF(Z127&lt;0,"Error 1.3",IF(Z127&gt;=500000,"Error 3.4.4",""))))))</f>
      </c>
      <c r="BQ127" s="660">
        <f>IF(AND(AA127="",G127="",H127=""),"",IF(AND(AA127="",$H$1&lt;&gt;"*"),"",IF(AND(OR(G127&lt;&gt;"",H127&lt;&gt;""),AND(AA127="",$H$1="*")),"Error 1.1",IF(AND(AA127&lt;&gt;"",ISNUMBER(AA127)=FALSE),"Error 1.2",IF(AA127&lt;0,"Error 1.3",IF(AA127&gt;=500000,"Error 3.4.5",""))))))</f>
      </c>
      <c r="BR127" s="660">
        <f>IF(AND(AB127="",H127="",I127=""),"",IF(AND(AB127="",$H$1&lt;&gt;"*"),"",IF(AND(OR(H127&lt;&gt;"",I127&lt;&gt;""),AND(AB127="",$H$1="*")),"Error 1.1",IF(AND(AB127&lt;&gt;"",ISNUMBER(AB127)=FALSE),"Error 1.2",IF(AB127&lt;0,"Error 1.3",IF(AB127&gt;=500000,"Error 3.4.6",""))))))</f>
      </c>
      <c r="BS127" s="711"/>
      <c r="BT127" s="682"/>
      <c r="BU127" s="660">
        <f>IF(AND(AE127&lt;&gt;"",UPPER(AE127)&lt;&gt;"C",UPPER(AE127)&lt;&gt;"O"),"Error 2.8","")</f>
      </c>
      <c r="BV127" s="660">
        <f>IF(AND(AE127="",AF127=""),"",IF(AND(AE127&lt;&gt;"",AF127=""),"Error 2.9.1",IF(AND(A601="",AF127&lt;&gt;""),"Error 2.9.1",IF(ISNUMBER(AF127)&lt;&gt;TRUE,"Error 2.9.1",IF(AND(AE127&lt;&gt;"",R127&gt;0,(OR(AF127&lt;DATE(2010,4,1),AF127&gt;DATE(2011,3,31)))),"Error 2.10.2","")))))</f>
      </c>
      <c r="BW127" s="605">
        <f>IF(LEN(TRIM(AS127&amp;AT127&amp;AU127&amp;AV127&amp;AX127&amp;BB127&amp;BC127&amp;BD127&amp;BE127&amp;BF127&amp;BG127&amp;BH127&amp;BI127&amp;BK127&amp;BM127&amp;BN127&amp;BO127&amp;BP127&amp;BR127&amp;BU127&amp;BV127))&gt;0,1,0)</f>
        <v>0</v>
      </c>
      <c r="CA127" s="665"/>
      <c r="CB127" s="665"/>
      <c r="CC127" s="666"/>
      <c r="DG127" s="3">
        <f>IF(LEFT(BJ132,1)="W",1,0)</f>
        <v>0</v>
      </c>
    </row>
    <row r="128" spans="2:81" ht="12.75">
      <c r="B128" s="645">
        <f>IF('Table 3b'!A19="","",'Table 3b'!A19)</f>
        <v>5</v>
      </c>
      <c r="C128" s="644" t="str">
        <f>IF('Table 3b'!B19="","",'Table 3b'!B19)</f>
        <v>Reynalds Cross School</v>
      </c>
      <c r="D128" s="645">
        <f>IF('Table 3b'!C19="","",'Table 3b'!C19)</f>
        <v>7002</v>
      </c>
      <c r="E128" s="646">
        <f>IF('Table 3b'!O19="","",'Table 3b'!O19)</f>
        <v>1636911.6600000001</v>
      </c>
      <c r="F128" s="646">
        <f>IF('Table 3b'!Q19="","",'Table 3b'!Q19)</f>
        <v>0</v>
      </c>
      <c r="G128" s="657"/>
      <c r="H128" s="646">
        <f>IF('Table 3b'!S19="","",'Table 3b'!S19)</f>
        <v>0</v>
      </c>
      <c r="I128" s="154"/>
      <c r="K128" s="708"/>
      <c r="L128" s="646">
        <f>IF('Table 3b'!W19="","",'Table 3b'!W19)</f>
        <v>5065</v>
      </c>
      <c r="M128" s="646">
        <f>IF('Table 3b'!AA19="","",'Table 3b'!AA19)</f>
        <v>67727</v>
      </c>
      <c r="N128" s="646">
        <f>IF('Table 3b'!AE19="","",'Table 3b'!AE19)</f>
        <v>193078</v>
      </c>
      <c r="O128" s="646">
        <f>IF('Table 3b'!AG19="","",'Table 3b'!AG19)</f>
        <v>0</v>
      </c>
      <c r="P128" s="646">
        <f>IF('Table 3b'!AH19="","",'Table 3b'!AH19)</f>
        <v>0</v>
      </c>
      <c r="Q128" s="646">
        <f>SUM(E128,F128,G128,H128,I128,J128,K128,L128,M128,N128,O128,P128)</f>
        <v>1902781.6600000001</v>
      </c>
      <c r="R128" s="646">
        <f>IF('Table 3b'!N19="","",'Table 3b'!N19)</f>
        <v>92</v>
      </c>
      <c r="S128" s="646">
        <f>IF(R128=0,0,IF(ISERROR(Q128/R128),0,Q128/R128))</f>
        <v>20682.409347826087</v>
      </c>
      <c r="T128" s="651"/>
      <c r="U128" s="649">
        <v>40668.007909090906</v>
      </c>
      <c r="V128" s="649">
        <v>5321</v>
      </c>
      <c r="W128" s="651"/>
      <c r="X128" s="649">
        <v>33713</v>
      </c>
      <c r="Y128" s="649">
        <v>0</v>
      </c>
      <c r="Z128" s="649">
        <v>0</v>
      </c>
      <c r="AA128" s="649">
        <v>0</v>
      </c>
      <c r="AB128" s="649">
        <v>0</v>
      </c>
      <c r="AE128" s="652"/>
      <c r="AF128" s="653"/>
      <c r="AG128" s="654"/>
      <c r="AH128" s="655"/>
      <c r="AI128" s="709"/>
      <c r="AJ128" s="657"/>
      <c r="AK128" s="658"/>
      <c r="AL128" s="658"/>
      <c r="AM128" s="658"/>
      <c r="AN128" s="657"/>
      <c r="AO128" s="658"/>
      <c r="AP128" s="658"/>
      <c r="AQ128" s="710"/>
      <c r="AR128" s="682"/>
      <c r="AS128" s="660">
        <f>IF(OR(OR(AND(C128="",D128&lt;&gt;""),AND(C128&lt;&gt;"",D128="")),AND(OR(SUM(Q128)&lt;&gt;0,SUM(R128)&lt;&gt;0,AND(U128&lt;&gt;"",U128&lt;&gt;0),AND(V128&lt;&gt;"",V128&lt;&gt;0),AND(W128&lt;&gt;"",W128&lt;&gt;0),AND(X128&lt;&gt;"",X128&lt;&gt;0),AND(Y128&lt;&gt;"",Y128&lt;&gt;0),AND(Z128&lt;&gt;"",Z128&lt;&gt;0),AND(AA128&lt;&gt;"",AA128&lt;&gt;0),AND(AB128&lt;&gt;"",AB128&lt;&gt;0),AND(AC128&lt;&gt;"",AC128&lt;&gt;0),AND(AD128&lt;&gt;"",AD128&lt;&gt;0),AE128&lt;&gt;"",AF128&lt;&gt;""),OR(C128="",D128=""))),"Error 2.11",IF(LEFT(C128,11)="Situated at","Error 2.12",""))</f>
      </c>
      <c r="AT128" s="660">
        <f>IF(OR(OR(AND(C128="",D128&lt;&gt;""),AND(C128&lt;&gt;"",D128="")),AND(OR(SUM(Q128)&lt;&gt;0,SUM(R128)&lt;&gt;0,AND(U128&lt;&gt;"",U128&lt;&gt;0),AND(V128&lt;&gt;"",V128&lt;&gt;0),AND(W128&lt;&gt;"",W128&lt;&gt;0),AND(X128&lt;&gt;"",X128&lt;&gt;0),AND(Y128&lt;&gt;"",Y128&lt;&gt;0),AND(Z128&lt;&gt;"",Z128&lt;&gt;0),AND(AA128&lt;&gt;"",AA128&lt;&gt;0),AND(AB128&lt;&gt;"",AB128&lt;&gt;0),AND(AC128&lt;&gt;"",AC128&lt;&gt;0),AND(AD128&lt;&gt;"",AD128&lt;&gt;0),AE128&lt;&gt;"",AF128&lt;&gt;""),OR(C128="",D128=""))),"Error 2.11",IF(AND(C128&lt;&gt;"",ISNUMBER(D128)=FALSE),"Error 1.2",IF(AND(C128&lt;&gt;"",'Table 3a'!D129-INT('Table 3a'!D129)&lt;&gt;0),"Error 2.1",IF(AND(C128&lt;&gt;"",OR(D128&lt;5950,AND(D128&gt;5999,D128&lt;7000),D128&gt;7999)),"Error 2.5",IF(AND(C128&lt;&gt;"",COUNTIF(startdfes:enddfes,D128)&gt;1),"Warning 1.2","")))))</f>
      </c>
      <c r="AU128" s="660">
        <f>IF(AND(OR(E128="",E128=0),C128="",D128=""),"",IF(AND(OR(C128&lt;&gt;"",D128&lt;&gt;""),E128=""),"Error 4.10.2",IF(AND(E128&lt;&gt;"",ISNUMBER(E128)=FALSE),"Error 1.2",IF(E128&lt;=0,"Error 1.4",IF('Table 3b'!O19&lt;&gt;'Table 3b'!AK19,"Warning 2.7","")))))</f>
      </c>
      <c r="AV128" s="660">
        <f>IF(AND(OR(F128="",F128=0),C128="",D128=""),"",IF(AND(OR(C128&lt;&gt;"",D128&lt;&gt;""),F128=""),"Error 4.10.2",IF(AND(F128&lt;&gt;"",ISNUMBER(F128)=FALSE),"Error 1.2",IF(F128&lt;0,"Error 1.3",""))))</f>
      </c>
      <c r="AW128" s="711"/>
      <c r="AX128" s="660">
        <f>IF(AND(OR(H128="",H128=0),C128="",D128=""),"",IF(AND(OR(C128&lt;&gt;"",D128&lt;&gt;""),H128=""),"Error 4.10.2",IF(AND(H128&lt;&gt;"",ISNUMBER(H128)=FALSE),"Error 1.2",IF(H128&lt;0,"Error 1.3",""))))</f>
      </c>
      <c r="AY128" s="711"/>
      <c r="AZ128" s="712"/>
      <c r="BA128" s="682"/>
      <c r="BB128" s="660">
        <f>IF(AND(OR(L128="",L128=0),C128="",D128=""),"",IF(AND(OR(C128&lt;&gt;"",D128&lt;&gt;""),L128=""),"Error 4.10.2",IF(AND(L128&lt;&gt;"",ISNUMBER(L128)=FALSE),"Error 1.2",IF(L128&lt;0,"Error 1.3",""))))</f>
      </c>
      <c r="BC128" s="660">
        <f>IF(AND(OR(M128="",M128=0),C128="",D128=""),"",IF(AND(OR(C128&lt;&gt;"",D128&lt;&gt;""),M128=""),"Error 4.10.2",IF(AND(M128&lt;&gt;"",ISNUMBER(M128)=FALSE),"Error 1.2",IF(M128&lt;0,"Error 1.3",""))))</f>
      </c>
      <c r="BD128" s="660">
        <f>IF(AND(OR(N128="",N128=0),C128="",D128=""),"",IF(AND(OR(C128&lt;&gt;"",D128&lt;&gt;""),N128=""),"Error 4.10.2",IF(AND(N128&lt;&gt;"",ISNUMBER(N128)=FALSE),"Error 1.2",IF(N128&lt;0,"Error 1.3",""))))</f>
      </c>
      <c r="BE128" s="660">
        <f>IF(AND(OR(O128="",O128=0),C128="",D128=""),"",IF(AND(OR(C128&lt;&gt;"",D128&lt;&gt;""),O128=""),"Error 4.10.2",IF(AND(O128&lt;&gt;"",ISNUMBER(O128)=FALSE),"Error 1.2","")))</f>
      </c>
      <c r="BF128" s="660">
        <f>IF(AND(OR(P128="",P128=0),C128="",D128=""),"",IF(AND(OR(C128&lt;&gt;"",D128&lt;&gt;""),P128=""),"Error 4.10.2",IF(AND(P128&lt;&gt;"",ISNUMBER(P128)=FALSE),"Error 1.2",IF(P128&lt;0,"Error 1.3",""))))</f>
      </c>
      <c r="BG128" s="660">
        <f>IF(AND(OR(Q128="",Q128=0),C128="",D128=""),"",IF(AND(OR(C128&lt;&gt;"",D128&lt;&gt;""),Q128=""),"Error 4.10.2",IF(AND(Q128&lt;&gt;"",ISNUMBER(Q128)=FALSE),"Error 1.2",IF(AND(OR(Q128&lt;10000,Q128&gt;10000000)),"Error 3.2.1",IF(ABS(('Table 3b'!AI19*2)-'Table 3b'!AJ19)&gt;50,"Error 3.7","")))))</f>
      </c>
      <c r="BH128" s="660">
        <f>IF(AND(OR(R128="",R128=0),C128="",D128=""),"",IF(AND(OR(C128&lt;&gt;"",D128&lt;&gt;""),R128=""),"Error 4.10.2",IF(AND(R128&lt;&gt;"",ISNUMBER(R128)=FALSE),"Error 1.2",IF(OR(R128&lt;1,R128&gt;2999),"Error 2.6",""))))</f>
      </c>
      <c r="BI128" s="660">
        <f>IF(AND(OR(S128="",S128=0),C128="",D128=""),"",IF(AND(OR(C128&lt;&gt;"",D128&lt;&gt;""),S128=""),"Error 4.10.2",IF(AND(S128&lt;&gt;"",ISNUMBER(S128)=FALSE),"Error 1.2",IF(S128&lt;=0,"Error 1.4",""))))</f>
      </c>
      <c r="BJ128" s="713"/>
      <c r="BK128" s="660">
        <f>IF(AND(U128="",C128="",D128=""),"",IF(AND(U128="",$H$1&lt;&gt;"*"),"",IF(AND(OR(C128&lt;&gt;"",D128&lt;&gt;""),AND(U128="",$H$1="*")),"Error 1.1",IF(AND(U128&lt;&gt;"",ISNUMBER(U128)=FALSE),"Error 1.2",IF(U128&lt;0,"Error 1.3",IF(U128&gt;=500000,"Error 3.4.1",""))))))</f>
      </c>
      <c r="BL128" s="660">
        <f>IF(AND(V128="",C128="",D128=""),"",IF(AND(V128="",$H$1&lt;&gt;"*"),"",IF(AND(OR(C128&lt;&gt;"",D128&lt;&gt;""),AND(V128="",$H$1="*")),"Error 1.1",IF(AND(V128&lt;&gt;"",ISNUMBER(V128)=FALSE),"Error 1.2",IF(V128&lt;0,"Error 1.3",IF(V128&gt;=500000,"Error 3.4.2",""))))))</f>
      </c>
      <c r="BM128" s="663"/>
      <c r="BN128" s="660">
        <f t="shared" si="107"/>
      </c>
      <c r="BO128" s="660">
        <f t="shared" si="107"/>
      </c>
      <c r="BP128" s="660">
        <f>IF(AND(Z128="",F128="",G128=""),"",IF(AND(Z128="",$H$1&lt;&gt;"*"),"",IF(AND(OR(F128&lt;&gt;"",G128&lt;&gt;""),AND(Z128="",$H$1="*")),"Error 1.1",IF(AND(Z128&lt;&gt;"",ISNUMBER(Z128)=FALSE),"Error 1.2",IF(Z128&lt;0,"Error 1.3",IF(Z128&gt;=500000,"Error 3.4.4",""))))))</f>
      </c>
      <c r="BQ128" s="660">
        <f>IF(AND(AA128="",G128="",H128=""),"",IF(AND(AA128="",$H$1&lt;&gt;"*"),"",IF(AND(OR(G128&lt;&gt;"",H128&lt;&gt;""),AND(AA128="",$H$1="*")),"Error 1.1",IF(AND(AA128&lt;&gt;"",ISNUMBER(AA128)=FALSE),"Error 1.2",IF(AA128&lt;0,"Error 1.3",IF(AA128&gt;=500000,"Error 3.4.5",""))))))</f>
      </c>
      <c r="BR128" s="660">
        <f>IF(AND(AB128="",H128="",I128=""),"",IF(AND(AB128="",$H$1&lt;&gt;"*"),"",IF(AND(OR(H128&lt;&gt;"",I128&lt;&gt;""),AND(AB128="",$H$1="*")),"Error 1.1",IF(AND(AB128&lt;&gt;"",ISNUMBER(AB128)=FALSE),"Error 1.2",IF(AB128&lt;0,"Error 1.3",IF(AB128&gt;=500000,"Error 3.4.6",""))))))</f>
      </c>
      <c r="BS128" s="711"/>
      <c r="BT128" s="682"/>
      <c r="BU128" s="660">
        <f>IF(AND(AE128&lt;&gt;"",UPPER(AE128)&lt;&gt;"C",UPPER(AE128)&lt;&gt;"O"),"Error 2.8","")</f>
      </c>
      <c r="BV128" s="660">
        <f>IF(AND(AE128="",AF128=""),"",IF(AND(AE128&lt;&gt;"",AF128=""),"Error 2.9.1",IF(AND(A602="",AF128&lt;&gt;""),"Error 2.9.1",IF(ISNUMBER(AF128)&lt;&gt;TRUE,"Error 2.9.1",IF(AND(AE128&lt;&gt;"",R128&gt;0,(OR(AF128&lt;DATE(2010,4,1),AF128&gt;DATE(2011,3,31)))),"Error 2.10.2","")))))</f>
      </c>
      <c r="BW128" s="605">
        <f>IF(LEN(TRIM(AS128&amp;AT128&amp;AU128&amp;AV128&amp;AX128&amp;BB128&amp;BC128&amp;BD128&amp;BE128&amp;BF128&amp;BG128&amp;BH128&amp;BI128&amp;BK128&amp;BM128&amp;BN128&amp;BO128&amp;BP128&amp;BR128&amp;BU128&amp;BV128))&gt;0,1,0)</f>
        <v>0</v>
      </c>
      <c r="CA128" s="665"/>
      <c r="CB128" s="665"/>
      <c r="CC128" s="666"/>
    </row>
    <row r="129" spans="2:81" ht="12.75">
      <c r="B129" s="645">
        <f>IF('Table 3b'!A20="","",'Table 3b'!A20)</f>
        <v>1</v>
      </c>
      <c r="C129" s="644" t="str">
        <f>IF('Table 3b'!B20="","",'Table 3b'!B20)</f>
        <v>Forest Oak School</v>
      </c>
      <c r="D129" s="645">
        <f>IF('Table 3b'!C20="","",'Table 3b'!C20)</f>
        <v>7005</v>
      </c>
      <c r="E129" s="646">
        <f>IF('Table 3b'!O20="","",'Table 3b'!O20)</f>
        <v>1031554.1348</v>
      </c>
      <c r="F129" s="646">
        <f>IF('Table 3b'!Q20="","",'Table 3b'!Q20)</f>
        <v>0</v>
      </c>
      <c r="G129" s="657"/>
      <c r="H129" s="646">
        <f>IF('Table 3b'!S20="","",'Table 3b'!S20)</f>
        <v>0</v>
      </c>
      <c r="I129" s="154"/>
      <c r="K129" s="708"/>
      <c r="L129" s="646">
        <f>IF('Table 3b'!W20="","",'Table 3b'!W20)</f>
        <v>25198</v>
      </c>
      <c r="M129" s="646">
        <f>IF('Table 3b'!AA20="","",'Table 3b'!AA20)</f>
        <v>59477</v>
      </c>
      <c r="N129" s="646">
        <f>IF('Table 3b'!AE20="","",'Table 3b'!AE20)</f>
        <v>188244</v>
      </c>
      <c r="O129" s="646">
        <f>IF('Table 3b'!AG20="","",'Table 3b'!AG20)</f>
        <v>0</v>
      </c>
      <c r="P129" s="646">
        <f>IF('Table 3b'!AH20="","",'Table 3b'!AH20)</f>
        <v>0</v>
      </c>
      <c r="Q129" s="646">
        <f>SUM(E129,F129,G129,H129,I129,J129,K129,L129,M129,N129,O129,P129)</f>
        <v>1304473.1348</v>
      </c>
      <c r="R129" s="646">
        <f>IF('Table 3b'!N20="","",'Table 3b'!N20)</f>
        <v>110.83</v>
      </c>
      <c r="S129" s="646">
        <f>IF(R129=0,0,IF(ISERROR(Q129/R129),0,Q129/R129))</f>
        <v>11770.036405305424</v>
      </c>
      <c r="T129" s="651"/>
      <c r="U129" s="649">
        <v>43903</v>
      </c>
      <c r="V129" s="649">
        <v>5798</v>
      </c>
      <c r="W129" s="651"/>
      <c r="X129" s="649">
        <v>55441</v>
      </c>
      <c r="Y129" s="649">
        <v>0</v>
      </c>
      <c r="Z129" s="649">
        <v>0</v>
      </c>
      <c r="AA129" s="649">
        <v>0</v>
      </c>
      <c r="AB129" s="649">
        <v>0</v>
      </c>
      <c r="AE129" s="652"/>
      <c r="AF129" s="653"/>
      <c r="AG129" s="654"/>
      <c r="AH129" s="655"/>
      <c r="AI129" s="709"/>
      <c r="AJ129" s="657"/>
      <c r="AK129" s="658"/>
      <c r="AL129" s="658"/>
      <c r="AM129" s="658"/>
      <c r="AN129" s="657"/>
      <c r="AO129" s="658"/>
      <c r="AP129" s="658"/>
      <c r="AQ129" s="710"/>
      <c r="AR129" s="682"/>
      <c r="AS129" s="660">
        <f>IF(OR(OR(AND(C129="",D129&lt;&gt;""),AND(C129&lt;&gt;"",D129="")),AND(OR(SUM(Q129)&lt;&gt;0,SUM(R129)&lt;&gt;0,AND(U129&lt;&gt;"",U129&lt;&gt;0),AND(V129&lt;&gt;"",V129&lt;&gt;0),AND(W129&lt;&gt;"",W129&lt;&gt;0),AND(X129&lt;&gt;"",X129&lt;&gt;0),AND(Y129&lt;&gt;"",Y129&lt;&gt;0),AND(Z129&lt;&gt;"",Z129&lt;&gt;0),AND(AA129&lt;&gt;"",AA129&lt;&gt;0),AND(AB129&lt;&gt;"",AB129&lt;&gt;0),AND(AC129&lt;&gt;"",AC129&lt;&gt;0),AND(AD129&lt;&gt;"",AD129&lt;&gt;0),AE129&lt;&gt;"",AF129&lt;&gt;""),OR(C129="",D129=""))),"Error 2.11",IF(LEFT(C129,11)="Situated at","Error 2.12",""))</f>
      </c>
      <c r="AT129" s="660">
        <f>IF(OR(OR(AND(C129="",D129&lt;&gt;""),AND(C129&lt;&gt;"",D129="")),AND(OR(SUM(Q129)&lt;&gt;0,SUM(R129)&lt;&gt;0,AND(U129&lt;&gt;"",U129&lt;&gt;0),AND(V129&lt;&gt;"",V129&lt;&gt;0),AND(W129&lt;&gt;"",W129&lt;&gt;0),AND(X129&lt;&gt;"",X129&lt;&gt;0),AND(Y129&lt;&gt;"",Y129&lt;&gt;0),AND(Z129&lt;&gt;"",Z129&lt;&gt;0),AND(AA129&lt;&gt;"",AA129&lt;&gt;0),AND(AB129&lt;&gt;"",AB129&lt;&gt;0),AND(AC129&lt;&gt;"",AC129&lt;&gt;0),AND(AD129&lt;&gt;"",AD129&lt;&gt;0),AE129&lt;&gt;"",AF129&lt;&gt;""),OR(C129="",D129=""))),"Error 2.11",IF(AND(C129&lt;&gt;"",ISNUMBER(D129)=FALSE),"Error 1.2",IF(AND(C129&lt;&gt;"",'Table 3a'!D130-INT('Table 3a'!D130)&lt;&gt;0),"Error 2.1",IF(AND(C129&lt;&gt;"",OR(D129&lt;5950,AND(D129&gt;5999,D129&lt;7000),D129&gt;7999)),"Error 2.5",IF(AND(C129&lt;&gt;"",COUNTIF(startdfes:enddfes,D129)&gt;1),"Warning 1.2","")))))</f>
      </c>
      <c r="AU129" s="660">
        <f>IF(AND(OR(E129="",E129=0),C129="",D129=""),"",IF(AND(OR(C129&lt;&gt;"",D129&lt;&gt;""),E129=""),"Error 4.10.2",IF(AND(E129&lt;&gt;"",ISNUMBER(E129)=FALSE),"Error 1.2",IF(E129&lt;=0,"Error 1.4",IF('Table 3b'!O20&lt;&gt;'Table 3b'!AK20,"Warning 2.7","")))))</f>
      </c>
      <c r="AV129" s="660">
        <f>IF(AND(OR(F129="",F129=0),C129="",D129=""),"",IF(AND(OR(C129&lt;&gt;"",D129&lt;&gt;""),F129=""),"Error 4.10.2",IF(AND(F129&lt;&gt;"",ISNUMBER(F129)=FALSE),"Error 1.2",IF(F129&lt;0,"Error 1.3",""))))</f>
      </c>
      <c r="AW129" s="711"/>
      <c r="AX129" s="660">
        <f>IF(AND(OR(H129="",H129=0),C129="",D129=""),"",IF(AND(OR(C129&lt;&gt;"",D129&lt;&gt;""),H129=""),"Error 4.10.2",IF(AND(H129&lt;&gt;"",ISNUMBER(H129)=FALSE),"Error 1.2",IF(H129&lt;0,"Error 1.3",""))))</f>
      </c>
      <c r="AY129" s="711"/>
      <c r="AZ129" s="712"/>
      <c r="BA129" s="682"/>
      <c r="BB129" s="660">
        <f>IF(AND(OR(L129="",L129=0),C129="",D129=""),"",IF(AND(OR(C129&lt;&gt;"",D129&lt;&gt;""),L129=""),"Error 4.10.2",IF(AND(L129&lt;&gt;"",ISNUMBER(L129)=FALSE),"Error 1.2",IF(L129&lt;0,"Error 1.3",""))))</f>
      </c>
      <c r="BC129" s="660">
        <f>IF(AND(OR(M129="",M129=0),C129="",D129=""),"",IF(AND(OR(C129&lt;&gt;"",D129&lt;&gt;""),M129=""),"Error 4.10.2",IF(AND(M129&lt;&gt;"",ISNUMBER(M129)=FALSE),"Error 1.2",IF(M129&lt;0,"Error 1.3",""))))</f>
      </c>
      <c r="BD129" s="660">
        <f>IF(AND(OR(N129="",N129=0),C129="",D129=""),"",IF(AND(OR(C129&lt;&gt;"",D129&lt;&gt;""),N129=""),"Error 4.10.2",IF(AND(N129&lt;&gt;"",ISNUMBER(N129)=FALSE),"Error 1.2",IF(N129&lt;0,"Error 1.3",""))))</f>
      </c>
      <c r="BE129" s="660">
        <f>IF(AND(OR(O129="",O129=0),C129="",D129=""),"",IF(AND(OR(C129&lt;&gt;"",D129&lt;&gt;""),O129=""),"Error 4.10.2",IF(AND(O129&lt;&gt;"",ISNUMBER(O129)=FALSE),"Error 1.2","")))</f>
      </c>
      <c r="BF129" s="660">
        <f>IF(AND(OR(P129="",P129=0),C129="",D129=""),"",IF(AND(OR(C129&lt;&gt;"",D129&lt;&gt;""),P129=""),"Error 4.10.2",IF(AND(P129&lt;&gt;"",ISNUMBER(P129)=FALSE),"Error 1.2",IF(P129&lt;0,"Error 1.3",""))))</f>
      </c>
      <c r="BG129" s="660">
        <f>IF(AND(OR(Q129="",Q129=0),C129="",D129=""),"",IF(AND(OR(C129&lt;&gt;"",D129&lt;&gt;""),Q129=""),"Error 4.10.2",IF(AND(Q129&lt;&gt;"",ISNUMBER(Q129)=FALSE),"Error 1.2",IF(AND(OR(Q129&lt;10000,Q129&gt;10000000)),"Error 3.2.1",IF(ABS(('Table 3b'!AI20*2)-'Table 3b'!AJ20)&gt;50,"Error 3.7","")))))</f>
      </c>
      <c r="BH129" s="660">
        <f>IF(AND(OR(R129="",R129=0),C129="",D129=""),"",IF(AND(OR(C129&lt;&gt;"",D129&lt;&gt;""),R129=""),"Error 4.10.2",IF(AND(R129&lt;&gt;"",ISNUMBER(R129)=FALSE),"Error 1.2",IF(OR(R129&lt;1,R129&gt;2999),"Error 2.6",""))))</f>
      </c>
      <c r="BI129" s="660">
        <f>IF(AND(OR(S129="",S129=0),C129="",D129=""),"",IF(AND(OR(C129&lt;&gt;"",D129&lt;&gt;""),S129=""),"Error 4.10.2",IF(AND(S129&lt;&gt;"",ISNUMBER(S129)=FALSE),"Error 1.2",IF(S129&lt;=0,"Error 1.4",""))))</f>
      </c>
      <c r="BJ129" s="713"/>
      <c r="BK129" s="660">
        <f>IF(AND(U129="",C129="",D129=""),"",IF(AND(U129="",$H$1&lt;&gt;"*"),"",IF(AND(OR(C129&lt;&gt;"",D129&lt;&gt;""),AND(U129="",$H$1="*")),"Error 1.1",IF(AND(U129&lt;&gt;"",ISNUMBER(U129)=FALSE),"Error 1.2",IF(U129&lt;0,"Error 1.3",IF(U129&gt;=500000,"Error 3.4.1",""))))))</f>
      </c>
      <c r="BL129" s="660">
        <f>IF(AND(V129="",C129="",D129=""),"",IF(AND(V129="",$H$1&lt;&gt;"*"),"",IF(AND(OR(C129&lt;&gt;"",D129&lt;&gt;""),AND(V129="",$H$1="*")),"Error 1.1",IF(AND(V129&lt;&gt;"",ISNUMBER(V129)=FALSE),"Error 1.2",IF(V129&lt;0,"Error 1.3",IF(V129&gt;=500000,"Error 3.4.2",""))))))</f>
      </c>
      <c r="BM129" s="663"/>
      <c r="BN129" s="660">
        <f t="shared" si="107"/>
      </c>
      <c r="BO129" s="660">
        <f t="shared" si="107"/>
      </c>
      <c r="BP129" s="660">
        <f>IF(AND(Z129="",F129="",G129=""),"",IF(AND(Z129="",$H$1&lt;&gt;"*"),"",IF(AND(OR(F129&lt;&gt;"",G129&lt;&gt;""),AND(Z129="",$H$1="*")),"Error 1.1",IF(AND(Z129&lt;&gt;"",ISNUMBER(Z129)=FALSE),"Error 1.2",IF(Z129&lt;0,"Error 1.3",IF(Z129&gt;=500000,"Error 3.4.4",""))))))</f>
      </c>
      <c r="BQ129" s="660">
        <f>IF(AND(AA129="",G129="",H129=""),"",IF(AND(AA129="",$H$1&lt;&gt;"*"),"",IF(AND(OR(G129&lt;&gt;"",H129&lt;&gt;""),AND(AA129="",$H$1="*")),"Error 1.1",IF(AND(AA129&lt;&gt;"",ISNUMBER(AA129)=FALSE),"Error 1.2",IF(AA129&lt;0,"Error 1.3",IF(AA129&gt;=500000,"Error 3.4.5",""))))))</f>
      </c>
      <c r="BR129" s="660">
        <f>IF(AND(AB129="",H129="",I129=""),"",IF(AND(AB129="",$H$1&lt;&gt;"*"),"",IF(AND(OR(H129&lt;&gt;"",I129&lt;&gt;""),AND(AB129="",$H$1="*")),"Error 1.1",IF(AND(AB129&lt;&gt;"",ISNUMBER(AB129)=FALSE),"Error 1.2",IF(AB129&lt;0,"Error 1.3",IF(AB129&gt;=500000,"Error 3.4.6",""))))))</f>
      </c>
      <c r="BS129" s="711"/>
      <c r="BT129" s="682"/>
      <c r="BU129" s="660">
        <f>IF(AND(AE129&lt;&gt;"",UPPER(AE129)&lt;&gt;"C",UPPER(AE129)&lt;&gt;"O"),"Error 2.8","")</f>
      </c>
      <c r="BV129" s="660">
        <f>IF(AND(AE129="",AF129=""),"",IF(AND(AE129&lt;&gt;"",AF129=""),"Error 2.9.1",IF(AND(A603="",AF129&lt;&gt;""),"Error 2.9.1",IF(ISNUMBER(AF129)&lt;&gt;TRUE,"Error 2.9.1",IF(AND(AE129&lt;&gt;"",R129&gt;0,(OR(AF129&lt;DATE(2010,4,1),AF129&gt;DATE(2011,3,31)))),"Error 2.10.2","")))))</f>
      </c>
      <c r="BW129" s="605">
        <f>IF(LEN(TRIM(AS129&amp;AT129&amp;AU129&amp;AV129&amp;AX129&amp;BB129&amp;BC129&amp;BD129&amp;BE129&amp;BF129&amp;BG129&amp;BH129&amp;BI129&amp;BK129&amp;BM129&amp;BN129&amp;BO129&amp;BP129&amp;BR129&amp;BU129&amp;BV129))&gt;0,1,0)</f>
        <v>0</v>
      </c>
      <c r="CA129" s="665"/>
      <c r="CB129" s="665"/>
      <c r="CC129" s="666"/>
    </row>
    <row r="130" spans="2:81" ht="12.75">
      <c r="B130" s="645">
        <f>IF('Table 3b'!A21="","",'Table 3b'!A21)</f>
        <v>4</v>
      </c>
      <c r="C130" s="644" t="str">
        <f>IF('Table 3b'!B21="","",'Table 3b'!B21)</f>
        <v>Merstone School</v>
      </c>
      <c r="D130" s="645">
        <f>IF('Table 3b'!C21="","",'Table 3b'!C21)</f>
        <v>7007</v>
      </c>
      <c r="E130" s="646">
        <f>IF('Table 3b'!O21="","",'Table 3b'!O21)</f>
        <v>1058264.67</v>
      </c>
      <c r="F130" s="646">
        <f>IF('Table 3b'!Q21="","",'Table 3b'!Q21)</f>
        <v>0</v>
      </c>
      <c r="G130" s="657"/>
      <c r="H130" s="646">
        <f>IF('Table 3b'!S21="","",'Table 3b'!S21)</f>
        <v>0</v>
      </c>
      <c r="I130" s="154"/>
      <c r="K130" s="708"/>
      <c r="L130" s="646">
        <f>IF('Table 3b'!W21="","",'Table 3b'!W21)</f>
        <v>7626</v>
      </c>
      <c r="M130" s="646">
        <f>IF('Table 3b'!AA21="","",'Table 3b'!AA21)</f>
        <v>56716</v>
      </c>
      <c r="N130" s="646">
        <f>IF('Table 3b'!AE21="","",'Table 3b'!AE21)</f>
        <v>191139</v>
      </c>
      <c r="O130" s="646">
        <f>IF('Table 3b'!AG21="","",'Table 3b'!AG21)</f>
        <v>0</v>
      </c>
      <c r="P130" s="646">
        <f>IF('Table 3b'!AH21="","",'Table 3b'!AH21)</f>
        <v>0</v>
      </c>
      <c r="Q130" s="646">
        <f>SUM(E130,F130,G130,H130,I130,J130,K130,L130,M130,N130,O130,P130)</f>
        <v>1313745.67</v>
      </c>
      <c r="R130" s="646">
        <f>IF('Table 3b'!N21="","",'Table 3b'!N21)</f>
        <v>75</v>
      </c>
      <c r="S130" s="646">
        <f>IF(R130=0,0,IF(ISERROR(Q130/R130),0,Q130/R130))</f>
        <v>17516.608933333333</v>
      </c>
      <c r="T130" s="651"/>
      <c r="U130" s="649">
        <v>41891.21581646761</v>
      </c>
      <c r="V130" s="649">
        <v>5321</v>
      </c>
      <c r="W130" s="651"/>
      <c r="X130" s="649">
        <v>39401</v>
      </c>
      <c r="Y130" s="649">
        <v>0</v>
      </c>
      <c r="Z130" s="649">
        <v>0</v>
      </c>
      <c r="AA130" s="649">
        <v>0</v>
      </c>
      <c r="AB130" s="649">
        <v>0</v>
      </c>
      <c r="AE130" s="652"/>
      <c r="AF130" s="653"/>
      <c r="AG130" s="654"/>
      <c r="AH130" s="655"/>
      <c r="AI130" s="709"/>
      <c r="AJ130" s="657"/>
      <c r="AK130" s="658"/>
      <c r="AL130" s="658"/>
      <c r="AM130" s="658"/>
      <c r="AN130" s="657"/>
      <c r="AO130" s="658"/>
      <c r="AP130" s="658"/>
      <c r="AQ130" s="710"/>
      <c r="AR130" s="682"/>
      <c r="AS130" s="660">
        <f>IF(OR(OR(AND(C130="",D130&lt;&gt;""),AND(C130&lt;&gt;"",D130="")),AND(OR(SUM(Q130)&lt;&gt;0,SUM(R130)&lt;&gt;0,AND(U130&lt;&gt;"",U130&lt;&gt;0),AND(V130&lt;&gt;"",V130&lt;&gt;0),AND(W130&lt;&gt;"",W130&lt;&gt;0),AND(X130&lt;&gt;"",X130&lt;&gt;0),AND(Y130&lt;&gt;"",Y130&lt;&gt;0),AND(Z130&lt;&gt;"",Z130&lt;&gt;0),AND(AA130&lt;&gt;"",AA130&lt;&gt;0),AND(AB130&lt;&gt;"",AB130&lt;&gt;0),AND(AC130&lt;&gt;"",AC130&lt;&gt;0),AND(AD130&lt;&gt;"",AD130&lt;&gt;0),AE130&lt;&gt;"",AF130&lt;&gt;""),OR(C130="",D130=""))),"Error 2.11",IF(LEFT(C130,11)="Situated at","Error 2.12",""))</f>
      </c>
      <c r="AT130" s="660">
        <f>IF(OR(OR(AND(C130="",D130&lt;&gt;""),AND(C130&lt;&gt;"",D130="")),AND(OR(SUM(Q130)&lt;&gt;0,SUM(R130)&lt;&gt;0,AND(U130&lt;&gt;"",U130&lt;&gt;0),AND(V130&lt;&gt;"",V130&lt;&gt;0),AND(W130&lt;&gt;"",W130&lt;&gt;0),AND(X130&lt;&gt;"",X130&lt;&gt;0),AND(Y130&lt;&gt;"",Y130&lt;&gt;0),AND(Z130&lt;&gt;"",Z130&lt;&gt;0),AND(AA130&lt;&gt;"",AA130&lt;&gt;0),AND(AB130&lt;&gt;"",AB130&lt;&gt;0),AND(AC130&lt;&gt;"",AC130&lt;&gt;0),AND(AD130&lt;&gt;"",AD130&lt;&gt;0),AE130&lt;&gt;"",AF130&lt;&gt;""),OR(C130="",D130=""))),"Error 2.11",IF(AND(C130&lt;&gt;"",ISNUMBER(D130)=FALSE),"Error 1.2",IF(AND(C130&lt;&gt;"",'Table 3a'!D131-INT('Table 3a'!D131)&lt;&gt;0),"Error 2.1",IF(AND(C130&lt;&gt;"",OR(D130&lt;5950,AND(D130&gt;5999,D130&lt;7000),D130&gt;7999)),"Error 2.5",IF(AND(C130&lt;&gt;"",COUNTIF(startdfes:enddfes,D130)&gt;1),"Warning 1.2","")))))</f>
      </c>
      <c r="AU130" s="660">
        <f>IF(AND(OR(E130="",E130=0),C130="",D130=""),"",IF(AND(OR(C130&lt;&gt;"",D130&lt;&gt;""),E130=""),"Error 4.10.2",IF(AND(E130&lt;&gt;"",ISNUMBER(E130)=FALSE),"Error 1.2",IF(E130&lt;=0,"Error 1.4",IF('Table 3b'!O21&lt;&gt;'Table 3b'!AK21,"Warning 2.7","")))))</f>
      </c>
      <c r="AV130" s="660">
        <f>IF(AND(OR(F130="",F130=0),C130="",D130=""),"",IF(AND(OR(C130&lt;&gt;"",D130&lt;&gt;""),F130=""),"Error 4.10.2",IF(AND(F130&lt;&gt;"",ISNUMBER(F130)=FALSE),"Error 1.2",IF(F130&lt;0,"Error 1.3",""))))</f>
      </c>
      <c r="AW130" s="711"/>
      <c r="AX130" s="660">
        <f>IF(AND(OR(H130="",H130=0),C130="",D130=""),"",IF(AND(OR(C130&lt;&gt;"",D130&lt;&gt;""),H130=""),"Error 4.10.2",IF(AND(H130&lt;&gt;"",ISNUMBER(H130)=FALSE),"Error 1.2",IF(H130&lt;0,"Error 1.3",""))))</f>
      </c>
      <c r="AY130" s="711"/>
      <c r="AZ130" s="712"/>
      <c r="BA130" s="682"/>
      <c r="BB130" s="660">
        <f>IF(AND(OR(L130="",L130=0),C130="",D130=""),"",IF(AND(OR(C130&lt;&gt;"",D130&lt;&gt;""),L130=""),"Error 4.10.2",IF(AND(L130&lt;&gt;"",ISNUMBER(L130)=FALSE),"Error 1.2",IF(L130&lt;0,"Error 1.3",""))))</f>
      </c>
      <c r="BC130" s="660">
        <f>IF(AND(OR(M130="",M130=0),C130="",D130=""),"",IF(AND(OR(C130&lt;&gt;"",D130&lt;&gt;""),M130=""),"Error 4.10.2",IF(AND(M130&lt;&gt;"",ISNUMBER(M130)=FALSE),"Error 1.2",IF(M130&lt;0,"Error 1.3",""))))</f>
      </c>
      <c r="BD130" s="660">
        <f>IF(AND(OR(N130="",N130=0),C130="",D130=""),"",IF(AND(OR(C130&lt;&gt;"",D130&lt;&gt;""),N130=""),"Error 4.10.2",IF(AND(N130&lt;&gt;"",ISNUMBER(N130)=FALSE),"Error 1.2",IF(N130&lt;0,"Error 1.3",""))))</f>
      </c>
      <c r="BE130" s="660">
        <f>IF(AND(OR(O130="",O130=0),C130="",D130=""),"",IF(AND(OR(C130&lt;&gt;"",D130&lt;&gt;""),O130=""),"Error 4.10.2",IF(AND(O130&lt;&gt;"",ISNUMBER(O130)=FALSE),"Error 1.2","")))</f>
      </c>
      <c r="BF130" s="660">
        <f>IF(AND(OR(P130="",P130=0),C130="",D130=""),"",IF(AND(OR(C130&lt;&gt;"",D130&lt;&gt;""),P130=""),"Error 4.10.2",IF(AND(P130&lt;&gt;"",ISNUMBER(P130)=FALSE),"Error 1.2",IF(P130&lt;0,"Error 1.3",""))))</f>
      </c>
      <c r="BG130" s="660">
        <f>IF(AND(OR(Q130="",Q130=0),C130="",D130=""),"",IF(AND(OR(C130&lt;&gt;"",D130&lt;&gt;""),Q130=""),"Error 4.10.2",IF(AND(Q130&lt;&gt;"",ISNUMBER(Q130)=FALSE),"Error 1.2",IF(AND(OR(Q130&lt;10000,Q130&gt;10000000)),"Error 3.2.1",IF(ABS(('Table 3b'!AI21*2)-'Table 3b'!AJ21)&gt;50,"Error 3.7","")))))</f>
      </c>
      <c r="BH130" s="660">
        <f>IF(AND(OR(R130="",R130=0),C130="",D130=""),"",IF(AND(OR(C130&lt;&gt;"",D130&lt;&gt;""),R130=""),"Error 4.10.2",IF(AND(R130&lt;&gt;"",ISNUMBER(R130)=FALSE),"Error 1.2",IF(OR(R130&lt;1,R130&gt;2999),"Error 2.6",""))))</f>
      </c>
      <c r="BI130" s="660">
        <f>IF(AND(OR(S130="",S130=0),C130="",D130=""),"",IF(AND(OR(C130&lt;&gt;"",D130&lt;&gt;""),S130=""),"Error 4.10.2",IF(AND(S130&lt;&gt;"",ISNUMBER(S130)=FALSE),"Error 1.2",IF(S130&lt;=0,"Error 1.4",""))))</f>
      </c>
      <c r="BJ130" s="713"/>
      <c r="BK130" s="660">
        <f>IF(AND(U130="",C130="",D130=""),"",IF(AND(U130="",$H$1&lt;&gt;"*"),"",IF(AND(OR(C130&lt;&gt;"",D130&lt;&gt;""),AND(U130="",$H$1="*")),"Error 1.1",IF(AND(U130&lt;&gt;"",ISNUMBER(U130)=FALSE),"Error 1.2",IF(U130&lt;0,"Error 1.3",IF(U130&gt;=500000,"Error 3.4.1",""))))))</f>
      </c>
      <c r="BL130" s="660">
        <f>IF(AND(V130="",C130="",D130=""),"",IF(AND(V130="",$H$1&lt;&gt;"*"),"",IF(AND(OR(C130&lt;&gt;"",D130&lt;&gt;""),AND(V130="",$H$1="*")),"Error 1.1",IF(AND(V130&lt;&gt;"",ISNUMBER(V130)=FALSE),"Error 1.2",IF(V130&lt;0,"Error 1.3",IF(V130&gt;=500000,"Error 3.4.2",""))))))</f>
      </c>
      <c r="BM130" s="663"/>
      <c r="BN130" s="660">
        <f t="shared" si="107"/>
      </c>
      <c r="BO130" s="660">
        <f t="shared" si="107"/>
      </c>
      <c r="BP130" s="660">
        <f>IF(AND(Z130="",F130="",G130=""),"",IF(AND(Z130="",$H$1&lt;&gt;"*"),"",IF(AND(OR(F130&lt;&gt;"",G130&lt;&gt;""),AND(Z130="",$H$1="*")),"Error 1.1",IF(AND(Z130&lt;&gt;"",ISNUMBER(Z130)=FALSE),"Error 1.2",IF(Z130&lt;0,"Error 1.3",IF(Z130&gt;=500000,"Error 3.4.4",""))))))</f>
      </c>
      <c r="BQ130" s="660">
        <f>IF(AND(AA130="",G130="",H130=""),"",IF(AND(AA130="",$H$1&lt;&gt;"*"),"",IF(AND(OR(G130&lt;&gt;"",H130&lt;&gt;""),AND(AA130="",$H$1="*")),"Error 1.1",IF(AND(AA130&lt;&gt;"",ISNUMBER(AA130)=FALSE),"Error 1.2",IF(AA130&lt;0,"Error 1.3",IF(AA130&gt;=500000,"Error 3.4.5",""))))))</f>
      </c>
      <c r="BR130" s="660">
        <f>IF(AND(AB130="",H130="",I130=""),"",IF(AND(AB130="",$H$1&lt;&gt;"*"),"",IF(AND(OR(H130&lt;&gt;"",I130&lt;&gt;""),AND(AB130="",$H$1="*")),"Error 1.1",IF(AND(AB130&lt;&gt;"",ISNUMBER(AB130)=FALSE),"Error 1.2",IF(AB130&lt;0,"Error 1.3",IF(AB130&gt;=500000,"Error 3.4.6",""))))))</f>
      </c>
      <c r="BS130" s="711"/>
      <c r="BT130" s="682"/>
      <c r="BU130" s="660">
        <f>IF(AND(AE130&lt;&gt;"",UPPER(AE130)&lt;&gt;"C",UPPER(AE130)&lt;&gt;"O"),"Error 2.8","")</f>
      </c>
      <c r="BV130" s="660">
        <f>IF(AND(AE130="",AF130=""),"",IF(AND(AE130&lt;&gt;"",AF130=""),"Error 2.9.1",IF(AND(A604="",AF130&lt;&gt;""),"Error 2.9.1",IF(ISNUMBER(AF130)&lt;&gt;TRUE,"Error 2.9.1",IF(AND(AE130&lt;&gt;"",R130&gt;0,(OR(AF130&lt;DATE(2010,4,1),AF130&gt;DATE(2011,3,31)))),"Error 2.10.2","")))))</f>
      </c>
      <c r="BW130" s="605">
        <f>IF(LEN(TRIM(AS130&amp;AT130&amp;AU130&amp;AV130&amp;AX130&amp;BB130&amp;BC130&amp;BD130&amp;BE130&amp;BF130&amp;BG130&amp;BH130&amp;BI130&amp;BK130&amp;BM130&amp;BN130&amp;BO130&amp;BP130&amp;BR130&amp;BU130&amp;BV130))&gt;0,1,0)</f>
        <v>0</v>
      </c>
      <c r="CA130" s="665"/>
      <c r="CB130" s="665"/>
      <c r="CC130" s="666"/>
    </row>
    <row r="131" spans="2:81" ht="12.75">
      <c r="B131" s="645">
        <f>IF('Table 3b'!A22="","",'Table 3b'!A22)</f>
        <v>3</v>
      </c>
      <c r="C131" s="644" t="str">
        <f>IF('Table 3b'!B22="","",'Table 3b'!B22)</f>
        <v>Lanchester School</v>
      </c>
      <c r="D131" s="645">
        <f>IF('Table 3b'!C22="","",'Table 3b'!C22)</f>
        <v>7009</v>
      </c>
      <c r="E131" s="646">
        <f>IF('Table 3b'!O22="","",'Table 3b'!O22)</f>
        <v>895096.9999999999</v>
      </c>
      <c r="F131" s="646">
        <f>IF('Table 3b'!Q22="","",'Table 3b'!Q22)</f>
        <v>0</v>
      </c>
      <c r="G131" s="657"/>
      <c r="H131" s="646">
        <f>IF('Table 3b'!S22="","",'Table 3b'!S22)</f>
        <v>0</v>
      </c>
      <c r="I131" s="154"/>
      <c r="K131" s="708"/>
      <c r="L131" s="646">
        <f>IF('Table 3b'!W22="","",'Table 3b'!W22)</f>
        <v>6247</v>
      </c>
      <c r="M131" s="646">
        <f>IF('Table 3b'!AA22="","",'Table 3b'!AA22)</f>
        <v>32863</v>
      </c>
      <c r="N131" s="646">
        <f>IF('Table 3b'!AE22="","",'Table 3b'!AE22)</f>
        <v>174779</v>
      </c>
      <c r="O131" s="646">
        <f>IF('Table 3b'!AG22="","",'Table 3b'!AG22)</f>
        <v>0</v>
      </c>
      <c r="P131" s="646">
        <f>IF('Table 3b'!AH22="","",'Table 3b'!AH22)</f>
        <v>0</v>
      </c>
      <c r="Q131" s="646">
        <f>SUM(E131,F131,G131,H131,I131,J131,K131,L131,M131,N131,O131,P131)</f>
        <v>1108986</v>
      </c>
      <c r="R131" s="646">
        <f>IF('Table 3b'!N22="","",'Table 3b'!N22)</f>
        <v>50</v>
      </c>
      <c r="S131" s="646">
        <f>IF(R131=0,0,IF(ISERROR(Q131/R131),0,Q131/R131))</f>
        <v>22179.72</v>
      </c>
      <c r="T131" s="651"/>
      <c r="U131" s="649">
        <v>36623.0470232094</v>
      </c>
      <c r="V131" s="649">
        <v>5321</v>
      </c>
      <c r="W131" s="651"/>
      <c r="X131" s="649">
        <v>24956</v>
      </c>
      <c r="Y131" s="649">
        <v>0</v>
      </c>
      <c r="Z131" s="649">
        <v>0</v>
      </c>
      <c r="AA131" s="649">
        <v>0</v>
      </c>
      <c r="AB131" s="649">
        <v>0</v>
      </c>
      <c r="AE131" s="652"/>
      <c r="AF131" s="653"/>
      <c r="AG131" s="654"/>
      <c r="AH131" s="655"/>
      <c r="AI131" s="709"/>
      <c r="AJ131" s="657"/>
      <c r="AK131" s="658"/>
      <c r="AL131" s="658"/>
      <c r="AM131" s="658"/>
      <c r="AN131" s="657"/>
      <c r="AO131" s="658"/>
      <c r="AP131" s="658"/>
      <c r="AQ131" s="710"/>
      <c r="AR131" s="682"/>
      <c r="AS131" s="660">
        <f>IF(OR(OR(AND(C131="",D131&lt;&gt;""),AND(C131&lt;&gt;"",D131="")),AND(OR(SUM(Q131)&lt;&gt;0,SUM(R131)&lt;&gt;0,AND(U131&lt;&gt;"",U131&lt;&gt;0),AND(V131&lt;&gt;"",V131&lt;&gt;0),AND(W131&lt;&gt;"",W131&lt;&gt;0),AND(X131&lt;&gt;"",X131&lt;&gt;0),AND(Y131&lt;&gt;"",Y131&lt;&gt;0),AND(Z131&lt;&gt;"",Z131&lt;&gt;0),AND(AA131&lt;&gt;"",AA131&lt;&gt;0),AND(AB131&lt;&gt;"",AB131&lt;&gt;0),AND(AC131&lt;&gt;"",AC131&lt;&gt;0),AND(AD131&lt;&gt;"",AD131&lt;&gt;0),AE131&lt;&gt;"",AF131&lt;&gt;""),OR(C131="",D131=""))),"Error 2.11",IF(LEFT(C131,11)="Situated at","Error 2.12",""))</f>
      </c>
      <c r="AT131" s="660">
        <f>IF(OR(OR(AND(C131="",D131&lt;&gt;""),AND(C131&lt;&gt;"",D131="")),AND(OR(SUM(Q131)&lt;&gt;0,SUM(R131)&lt;&gt;0,AND(U131&lt;&gt;"",U131&lt;&gt;0),AND(V131&lt;&gt;"",V131&lt;&gt;0),AND(W131&lt;&gt;"",W131&lt;&gt;0),AND(X131&lt;&gt;"",X131&lt;&gt;0),AND(Y131&lt;&gt;"",Y131&lt;&gt;0),AND(Z131&lt;&gt;"",Z131&lt;&gt;0),AND(AA131&lt;&gt;"",AA131&lt;&gt;0),AND(AB131&lt;&gt;"",AB131&lt;&gt;0),AND(AC131&lt;&gt;"",AC131&lt;&gt;0),AND(AD131&lt;&gt;"",AD131&lt;&gt;0),AE131&lt;&gt;"",AF131&lt;&gt;""),OR(C131="",D131=""))),"Error 2.11",IF(AND(C131&lt;&gt;"",ISNUMBER(D131)=FALSE),"Error 1.2",IF(AND(C131&lt;&gt;"",'Table 3a'!D132-INT('Table 3a'!D132)&lt;&gt;0),"Error 2.1",IF(AND(C131&lt;&gt;"",OR(D131&lt;5950,AND(D131&gt;5999,D131&lt;7000),D131&gt;7999)),"Error 2.5",IF(AND(C131&lt;&gt;"",COUNTIF(startdfes:enddfes,D131)&gt;1),"Warning 1.2","")))))</f>
      </c>
      <c r="AU131" s="660">
        <f>IF(AND(OR(E131="",E131=0),C131="",D131=""),"",IF(AND(OR(C131&lt;&gt;"",D131&lt;&gt;""),E131=""),"Error 4.10.2",IF(AND(E131&lt;&gt;"",ISNUMBER(E131)=FALSE),"Error 1.2",IF(E131&lt;=0,"Error 1.4",IF('Table 3b'!O22&lt;&gt;'Table 3b'!AK22,"Warning 2.7","")))))</f>
      </c>
      <c r="AV131" s="660">
        <f>IF(AND(OR(F131="",F131=0),C131="",D131=""),"",IF(AND(OR(C131&lt;&gt;"",D131&lt;&gt;""),F131=""),"Error 4.10.2",IF(AND(F131&lt;&gt;"",ISNUMBER(F131)=FALSE),"Error 1.2",IF(F131&lt;0,"Error 1.3",""))))</f>
      </c>
      <c r="AW131" s="711"/>
      <c r="AX131" s="660">
        <f>IF(AND(OR(H131="",H131=0),C131="",D131=""),"",IF(AND(OR(C131&lt;&gt;"",D131&lt;&gt;""),H131=""),"Error 4.10.2",IF(AND(H131&lt;&gt;"",ISNUMBER(H131)=FALSE),"Error 1.2",IF(H131&lt;0,"Error 1.3",""))))</f>
      </c>
      <c r="AY131" s="711"/>
      <c r="AZ131" s="712"/>
      <c r="BA131" s="682"/>
      <c r="BB131" s="660">
        <f>IF(AND(OR(L131="",L131=0),C131="",D131=""),"",IF(AND(OR(C131&lt;&gt;"",D131&lt;&gt;""),L131=""),"Error 4.10.2",IF(AND(L131&lt;&gt;"",ISNUMBER(L131)=FALSE),"Error 1.2",IF(L131&lt;0,"Error 1.3",""))))</f>
      </c>
      <c r="BC131" s="660">
        <f>IF(AND(OR(M131="",M131=0),C131="",D131=""),"",IF(AND(OR(C131&lt;&gt;"",D131&lt;&gt;""),M131=""),"Error 4.10.2",IF(AND(M131&lt;&gt;"",ISNUMBER(M131)=FALSE),"Error 1.2",IF(M131&lt;0,"Error 1.3",""))))</f>
      </c>
      <c r="BD131" s="660">
        <f>IF(AND(OR(N131="",N131=0),C131="",D131=""),"",IF(AND(OR(C131&lt;&gt;"",D131&lt;&gt;""),N131=""),"Error 4.10.2",IF(AND(N131&lt;&gt;"",ISNUMBER(N131)=FALSE),"Error 1.2",IF(N131&lt;0,"Error 1.3",""))))</f>
      </c>
      <c r="BE131" s="660">
        <f>IF(AND(OR(O131="",O131=0),C131="",D131=""),"",IF(AND(OR(C131&lt;&gt;"",D131&lt;&gt;""),O131=""),"Error 4.10.2",IF(AND(O131&lt;&gt;"",ISNUMBER(O131)=FALSE),"Error 1.2","")))</f>
      </c>
      <c r="BF131" s="660">
        <f>IF(AND(OR(P131="",P131=0),C131="",D131=""),"",IF(AND(OR(C131&lt;&gt;"",D131&lt;&gt;""),P131=""),"Error 4.10.2",IF(AND(P131&lt;&gt;"",ISNUMBER(P131)=FALSE),"Error 1.2",IF(P131&lt;0,"Error 1.3",""))))</f>
      </c>
      <c r="BG131" s="660">
        <f>IF(AND(OR(Q131="",Q131=0),C131="",D131=""),"",IF(AND(OR(C131&lt;&gt;"",D131&lt;&gt;""),Q131=""),"Error 4.10.2",IF(AND(Q131&lt;&gt;"",ISNUMBER(Q131)=FALSE),"Error 1.2",IF(AND(OR(Q131&lt;10000,Q131&gt;10000000)),"Error 3.2.1",IF(ABS(('Table 3b'!AI22*2)-'Table 3b'!AJ22)&gt;50,"Error 3.7","")))))</f>
      </c>
      <c r="BH131" s="660">
        <f>IF(AND(OR(R131="",R131=0),C131="",D131=""),"",IF(AND(OR(C131&lt;&gt;"",D131&lt;&gt;""),R131=""),"Error 4.10.2",IF(AND(R131&lt;&gt;"",ISNUMBER(R131)=FALSE),"Error 1.2",IF(OR(R131&lt;1,R131&gt;2999),"Error 2.6",""))))</f>
      </c>
      <c r="BI131" s="660">
        <f>IF(AND(OR(S131="",S131=0),C131="",D131=""),"",IF(AND(OR(C131&lt;&gt;"",D131&lt;&gt;""),S131=""),"Error 4.10.2",IF(AND(S131&lt;&gt;"",ISNUMBER(S131)=FALSE),"Error 1.2",IF(S131&lt;=0,"Error 1.4",""))))</f>
      </c>
      <c r="BJ131" s="713"/>
      <c r="BK131" s="660">
        <f>IF(AND(U131="",C131="",D131=""),"",IF(AND(U131="",$H$1&lt;&gt;"*"),"",IF(AND(OR(C131&lt;&gt;"",D131&lt;&gt;""),AND(U131="",$H$1="*")),"Error 1.1",IF(AND(U131&lt;&gt;"",ISNUMBER(U131)=FALSE),"Error 1.2",IF(U131&lt;0,"Error 1.3",IF(U131&gt;=500000,"Error 3.4.1",""))))))</f>
      </c>
      <c r="BL131" s="660">
        <f>IF(AND(V131="",C131="",D131=""),"",IF(AND(V131="",$H$1&lt;&gt;"*"),"",IF(AND(OR(C131&lt;&gt;"",D131&lt;&gt;""),AND(V131="",$H$1="*")),"Error 1.1",IF(AND(V131&lt;&gt;"",ISNUMBER(V131)=FALSE),"Error 1.2",IF(V131&lt;0,"Error 1.3",IF(V131&gt;=500000,"Error 3.4.2",""))))))</f>
      </c>
      <c r="BM131" s="663"/>
      <c r="BN131" s="660">
        <f t="shared" si="107"/>
      </c>
      <c r="BO131" s="660">
        <f t="shared" si="107"/>
      </c>
      <c r="BP131" s="660">
        <f>IF(AND(Z131="",F131="",G131=""),"",IF(AND(Z131="",$H$1&lt;&gt;"*"),"",IF(AND(OR(F131&lt;&gt;"",G131&lt;&gt;""),AND(Z131="",$H$1="*")),"Error 1.1",IF(AND(Z131&lt;&gt;"",ISNUMBER(Z131)=FALSE),"Error 1.2",IF(Z131&lt;0,"Error 1.3",IF(Z131&gt;=500000,"Error 3.4.4",""))))))</f>
      </c>
      <c r="BQ131" s="660">
        <f>IF(AND(AA131="",G131="",H131=""),"",IF(AND(AA131="",$H$1&lt;&gt;"*"),"",IF(AND(OR(G131&lt;&gt;"",H131&lt;&gt;""),AND(AA131="",$H$1="*")),"Error 1.1",IF(AND(AA131&lt;&gt;"",ISNUMBER(AA131)=FALSE),"Error 1.2",IF(AA131&lt;0,"Error 1.3",IF(AA131&gt;=500000,"Error 3.4.5",""))))))</f>
      </c>
      <c r="BR131" s="660">
        <f>IF(AND(AB131="",H131="",I131=""),"",IF(AND(AB131="",$H$1&lt;&gt;"*"),"",IF(AND(OR(H131&lt;&gt;"",I131&lt;&gt;""),AND(AB131="",$H$1="*")),"Error 1.1",IF(AND(AB131&lt;&gt;"",ISNUMBER(AB131)=FALSE),"Error 1.2",IF(AB131&lt;0,"Error 1.3",IF(AB131&gt;=500000,"Error 3.4.6",""))))))</f>
      </c>
      <c r="BS131" s="711"/>
      <c r="BT131" s="682"/>
      <c r="BU131" s="660">
        <f>IF(AND(AE131&lt;&gt;"",UPPER(AE131)&lt;&gt;"C",UPPER(AE131)&lt;&gt;"O"),"Error 2.8","")</f>
      </c>
      <c r="BV131" s="660">
        <f>IF(AND(AE131="",AF131=""),"",IF(AND(AE131&lt;&gt;"",AF131=""),"Error 2.9.1",IF(AND(A605="",AF131&lt;&gt;""),"Error 2.9.1",IF(ISNUMBER(AF131)&lt;&gt;TRUE,"Error 2.9.1",IF(AND(AE131&lt;&gt;"",R131&gt;0,(OR(AF131&lt;DATE(2010,4,1),AF131&gt;DATE(2011,3,31)))),"Error 2.10.2","")))))</f>
      </c>
      <c r="BW131" s="605">
        <f>IF(LEN(TRIM(AS131&amp;AT131&amp;AU131&amp;AV131&amp;AX131&amp;BB131&amp;BC131&amp;BD131&amp;BE131&amp;BF131&amp;BG131&amp;BH131&amp;BI131&amp;BK131&amp;BM131&amp;BN131&amp;BO131&amp;BP131&amp;BR131&amp;BU131&amp;BV131))&gt;0,1,0)</f>
        <v>0</v>
      </c>
      <c r="CA131" s="665"/>
      <c r="CB131" s="665"/>
      <c r="CC131" s="666"/>
    </row>
    <row r="132" spans="7:111" ht="13.5" thickBot="1">
      <c r="G132" s="52"/>
      <c r="H132" s="52"/>
      <c r="I132" s="154"/>
      <c r="T132" s="52"/>
      <c r="W132" s="52"/>
      <c r="AJ132" s="154"/>
      <c r="AK132" s="154"/>
      <c r="AL132" s="154"/>
      <c r="AM132" s="154"/>
      <c r="AN132" s="154"/>
      <c r="AO132" s="154"/>
      <c r="AP132" s="154"/>
      <c r="AQ132" s="154"/>
      <c r="AY132" s="714"/>
      <c r="BA132" s="714"/>
      <c r="BL132" s="15"/>
      <c r="BM132" s="154"/>
      <c r="BQ132" s="15"/>
      <c r="DG132" s="3">
        <f>IF(LEFT(BJ133,1)="W",1,0)</f>
        <v>0</v>
      </c>
    </row>
    <row r="133" spans="3:111" ht="14.25" thickBot="1" thickTop="1">
      <c r="C133" s="985" t="s">
        <v>652</v>
      </c>
      <c r="D133" s="985"/>
      <c r="E133" s="671">
        <f>SUM(E127:E132)</f>
        <v>5621517.0768</v>
      </c>
      <c r="F133" s="671">
        <f>SUM(F127:F132)</f>
        <v>0</v>
      </c>
      <c r="H133" s="671">
        <f>SUM(H127:H132)</f>
        <v>0</v>
      </c>
      <c r="I133" s="708"/>
      <c r="K133" s="715"/>
      <c r="L133" s="671">
        <f aca="true" t="shared" si="108" ref="L133:R133">SUM(L127:L132)</f>
        <v>52228</v>
      </c>
      <c r="M133" s="671">
        <f t="shared" si="108"/>
        <v>264170</v>
      </c>
      <c r="N133" s="671">
        <f t="shared" si="108"/>
        <v>932571</v>
      </c>
      <c r="O133" s="671">
        <f t="shared" si="108"/>
        <v>0</v>
      </c>
      <c r="P133" s="671">
        <f t="shared" si="108"/>
        <v>0</v>
      </c>
      <c r="Q133" s="671">
        <f t="shared" si="108"/>
        <v>6870486.0768</v>
      </c>
      <c r="R133" s="671">
        <f t="shared" si="108"/>
        <v>439.25</v>
      </c>
      <c r="S133" s="671">
        <f>IF(R133=0,0,IF(ISERROR(Q133/R133),0,Q133/R133))</f>
        <v>15641.40256528173</v>
      </c>
      <c r="T133" s="673"/>
      <c r="U133" s="671">
        <f>SUM(U127:U132)</f>
        <v>206988.27074876789</v>
      </c>
      <c r="V133" s="671">
        <f>SUM(V127:V132)</f>
        <v>27453</v>
      </c>
      <c r="W133" s="673"/>
      <c r="X133" s="671">
        <f>SUM(X127:X132)</f>
        <v>195824</v>
      </c>
      <c r="Y133" s="671">
        <f>SUM(Y127:Y132)</f>
        <v>0</v>
      </c>
      <c r="Z133" s="671">
        <f>SUM(Z127:Z132)</f>
        <v>0</v>
      </c>
      <c r="AA133" s="671">
        <f>SUM(AA127:AA132)</f>
        <v>0</v>
      </c>
      <c r="AB133" s="671">
        <f>SUM(AB127:AB132)</f>
        <v>0</v>
      </c>
      <c r="AC133" s="52"/>
      <c r="AD133" s="52"/>
      <c r="AE133" s="675"/>
      <c r="AF133" s="675"/>
      <c r="AG133" s="675"/>
      <c r="AH133" s="676"/>
      <c r="AI133" s="675"/>
      <c r="AJ133" s="675"/>
      <c r="AK133" s="675"/>
      <c r="AL133" s="675"/>
      <c r="AM133" s="675"/>
      <c r="AN133" s="675"/>
      <c r="AO133" s="675"/>
      <c r="AS133" s="1033" t="str">
        <f>C133</f>
        <v>(34) Total/average Special Schools</v>
      </c>
      <c r="AT133" s="1033"/>
      <c r="AU133" s="677">
        <f>IF(ROUND(E133,5)=ROUND('Table 3b'!O24,5),'Table 3b'!O24,"Error 4.10.6")</f>
        <v>5621517.0768</v>
      </c>
      <c r="AV133" s="677">
        <f>IF(ROUND(F133,5)=ROUND('Table 3b'!Q24,5),'Table 3b'!Q24,"Error 4.10.6")</f>
        <v>0</v>
      </c>
      <c r="AW133" s="716"/>
      <c r="AX133" s="677">
        <f>IF(ROUND(H133,5)=ROUND('Table 3b'!S24,5),'Table 3b'!S24,"Error 4.10.6")</f>
        <v>0</v>
      </c>
      <c r="AY133" s="717"/>
      <c r="AZ133" s="718"/>
      <c r="BA133" s="719"/>
      <c r="BB133" s="677">
        <f>IF(ROUND(L133,5)=ROUND('Table 3b'!W24,5),'Table 3b'!W24,"Error 4.10.6")</f>
        <v>52228</v>
      </c>
      <c r="BC133" s="677">
        <f>IF(ROUND(M133,5)=ROUND('Table 3b'!AA24,5),'Table 3b'!AA24,"Error 4.10.6")</f>
        <v>264170</v>
      </c>
      <c r="BD133" s="677">
        <f>IF(ROUND(N133,5)=ROUND('Table 3b'!AE24,5),'Table 3b'!AE24,"Error 4.10.6")</f>
        <v>932571</v>
      </c>
      <c r="BE133" s="677">
        <f>IF(ROUND(O133,5)=ROUND('Table 3b'!AG24,5),'Table 3b'!AG24,"Error 4.10.6")</f>
        <v>0</v>
      </c>
      <c r="BF133" s="677">
        <f>IF(ROUND(P133,5)=ROUND('Table 3b'!AH24,5),'Table 3b'!AH24,"Error 4.10.6")</f>
        <v>0</v>
      </c>
      <c r="BG133" s="720">
        <f>IF(ROUND(Q133,5)=ROUND('Table 3b'!AI24,5),'Table 3b'!AI24,"Error 4.10.6")</f>
        <v>6870486.0768</v>
      </c>
      <c r="BH133" s="677">
        <f>IF(ROUND(R133,5)=ROUND('Table 3b'!N24,5),'Table 3b'!N24,"Error 4.10.6")</f>
        <v>439.25</v>
      </c>
      <c r="BI133" s="717"/>
      <c r="BJ133" s="256"/>
      <c r="BK133" s="660">
        <f>IF(AND(U133="",$H$1&lt;&gt;"*"),"",IF(AND(U133="",$H$1="*"),"Error 1.1",IF(ISNUMBER(U133)=FALSE,"Error 1.2",IF(ABS(U133-'Table 1'!M13)&gt;1000,"Error 4.2.4",""))))</f>
      </c>
      <c r="BL133" s="660">
        <f>IF(AND(V133="",$H$1&lt;&gt;"*"),"",IF(AND(V133="",$H$1="*"),"Error 1.1",IF(ISNUMBER(V133)=FALSE,"Error 1.2",IF(ABS(V133-'Table 1'!M15)&gt;1000,"Error 4.3.3",""))))</f>
      </c>
      <c r="BM133" s="663"/>
      <c r="BN133" s="660">
        <f>IF(AND(X133="",$H$1&lt;&gt;"*"),"",IF(AND(X133="",$H$1="*"),"Error 1.1",IF(ISNUMBER(X133)=FALSE,"Error 1.2",IF(ABS(X133+Y133)&gt;('Table 1'!M17+1000),"Error 4.4.4",""))))</f>
      </c>
      <c r="BO133" s="660">
        <f>IF(AND(Y133="",$H$1&lt;&gt;"*"),"",IF(AND(Y133="",$H$1="*"),"Error 1.1",IF(ISNUMBER(Y133)=FALSE,"Error 1.2",IF(ABS(X133+Y133)&gt;('Table 1'!M17+1000),"Error 4.4.4",""))))</f>
      </c>
      <c r="BP133" s="660">
        <f>IF(AND(Z133="",$H$1&lt;&gt;"*"),"",IF(AND(Z133="",$H$1="*"),"Error 1.1",IF(ISNUMBER(Z133)=FALSE,"Error 1.2",IF(ABS(Z133)&gt;('Table 1'!M18+1000),"Error 4.5.4",""))))</f>
      </c>
      <c r="BQ133" s="660">
        <f>IF(AND(AA133="",$H$1&lt;&gt;"*"),"",IF(AND(AA133="",$H$1="*"),"Error 1.1",IF(ISNUMBER(AA133)=FALSE,"Error 1.2",IF(ABS(AA133)&gt;('Table 1'!M19+1000),"Error 4.6.4",""))))</f>
      </c>
      <c r="BR133" s="660">
        <f>IF(AND(AB133="",$H$1&lt;&gt;"*"),"",IF(AND(AB133="",$H$1="*"),"Error 1.1",IF(ISNUMBER(AB133)=FALSE,"Error 1.2",IF(ABS(AB133)&gt;('Table 1'!M22+1000),"Error 4.12.4",""))))</f>
      </c>
      <c r="BS133" s="256"/>
      <c r="BT133" s="256"/>
      <c r="BU133" s="15"/>
      <c r="BW133" s="605">
        <f>IF(OR(LEFT(AV133,1)="E",LEFT(AX133,1)="E",LEFT(BB133,1)="E",LEFT(BC133,1)="E",LEFT(BD133,1)="E",LEFT(BE133,1)="E",LEFT(BF133,1)="E",LEFT(BG133,1)="E",LEFT(BH133,1)="E",LEFT(BJ133,1)="E",LEFT(BK133,1)="E",LEFT(BL133,1)="E",LEFT(BM133,1)="E",LEFT(BN133,1)="E",LEFT(BO133,1)="E",LEFT(BP133,1)="E",LEFT(BQ133,1)="E",LEFT(BR133,1)="E"),1,0)</f>
        <v>0</v>
      </c>
      <c r="DG133" s="3">
        <f>IF(LEFT(BJ134,1)="W",1,0)</f>
        <v>0</v>
      </c>
    </row>
    <row r="134" spans="20:111" ht="14.25" thickBot="1" thickTop="1">
      <c r="T134" s="52"/>
      <c r="W134" s="52"/>
      <c r="AC134" s="52"/>
      <c r="AD134" s="52"/>
      <c r="AU134" s="15"/>
      <c r="AV134" s="15"/>
      <c r="AW134" s="15"/>
      <c r="AX134" s="15"/>
      <c r="AY134" s="15"/>
      <c r="AZ134" s="15"/>
      <c r="BA134" s="15"/>
      <c r="BB134" s="15"/>
      <c r="BG134" s="15"/>
      <c r="BH134" s="15"/>
      <c r="BI134" s="15"/>
      <c r="BJ134" s="15"/>
      <c r="BK134" s="15"/>
      <c r="BL134" s="15"/>
      <c r="BM134" s="154"/>
      <c r="BN134" s="15"/>
      <c r="BO134" s="15"/>
      <c r="BP134" s="15"/>
      <c r="BQ134" s="15"/>
      <c r="BR134" s="15"/>
      <c r="BS134" s="15"/>
      <c r="BT134" s="15"/>
      <c r="BU134" s="15"/>
      <c r="BW134" s="721"/>
      <c r="DG134" s="3">
        <f>SUM(DG19:DG133)</f>
        <v>0</v>
      </c>
    </row>
    <row r="135" spans="3:75" ht="19.5" customHeight="1" thickBot="1" thickTop="1">
      <c r="C135" s="986" t="s">
        <v>653</v>
      </c>
      <c r="D135" s="986"/>
      <c r="E135" s="671">
        <f>SUM(E22,E96,E115,E133)</f>
        <v>84612138.9268</v>
      </c>
      <c r="F135" s="671">
        <f>SUM(F22,F96,F115,F133)</f>
        <v>3367728.9000000004</v>
      </c>
      <c r="G135" s="671">
        <f>SUM(G115)</f>
        <v>5029418</v>
      </c>
      <c r="H135" s="671">
        <f>SUM(H22,H96,H115,H133)</f>
        <v>0</v>
      </c>
      <c r="I135" s="671">
        <f>SUM(I22,I96,I115,I133)</f>
        <v>6004567</v>
      </c>
      <c r="J135" s="671">
        <f>SUM(J22,J96,J115)</f>
        <v>641279.8333333333</v>
      </c>
      <c r="K135" s="671">
        <f aca="true" t="shared" si="109" ref="K135:R135">SUM(K22,K96,K115,K133)</f>
        <v>2722565</v>
      </c>
      <c r="L135" s="671">
        <f t="shared" si="109"/>
        <v>2089982</v>
      </c>
      <c r="M135" s="671">
        <f t="shared" si="109"/>
        <v>7656296</v>
      </c>
      <c r="N135" s="671">
        <f t="shared" si="109"/>
        <v>10159943.166666668</v>
      </c>
      <c r="O135" s="671">
        <f t="shared" si="109"/>
        <v>-470366</v>
      </c>
      <c r="P135" s="671">
        <f t="shared" si="109"/>
        <v>59824</v>
      </c>
      <c r="Q135" s="671">
        <f t="shared" si="109"/>
        <v>121873376.82679997</v>
      </c>
      <c r="R135" s="671">
        <f t="shared" si="109"/>
        <v>32796.75</v>
      </c>
      <c r="S135" s="671">
        <f>IF(R135=0,0,IF(ISERROR(Q135/R135),0,Q135/R135))</f>
        <v>3716.0199357192396</v>
      </c>
      <c r="T135" s="673"/>
      <c r="U135" s="671">
        <f>SUM(U22,U96,U115,U133)</f>
        <v>5295940.720149414</v>
      </c>
      <c r="V135" s="671">
        <f>SUM(V22,V96,V115,V133)</f>
        <v>1353689</v>
      </c>
      <c r="W135" s="673"/>
      <c r="X135" s="671">
        <f aca="true" t="shared" si="110" ref="X135:AD135">SUM(X22,X96,X115,X133)</f>
        <v>5206944.680920992</v>
      </c>
      <c r="Y135" s="671">
        <f t="shared" si="110"/>
        <v>2474941.3190790075</v>
      </c>
      <c r="Z135" s="671">
        <f t="shared" si="110"/>
        <v>166375</v>
      </c>
      <c r="AA135" s="671">
        <f t="shared" si="110"/>
        <v>0</v>
      </c>
      <c r="AB135" s="671">
        <f t="shared" si="110"/>
        <v>0</v>
      </c>
      <c r="AC135" s="671">
        <f t="shared" si="110"/>
        <v>6645846.833333334</v>
      </c>
      <c r="AD135" s="671">
        <f t="shared" si="110"/>
        <v>988</v>
      </c>
      <c r="AE135" s="675"/>
      <c r="AF135" s="675"/>
      <c r="AG135" s="675"/>
      <c r="AH135" s="676"/>
      <c r="AI135" s="675"/>
      <c r="AJ135" s="675"/>
      <c r="AK135" s="675"/>
      <c r="AL135" s="675"/>
      <c r="AM135" s="675"/>
      <c r="AN135" s="675"/>
      <c r="AO135" s="675"/>
      <c r="AS135" s="1035" t="str">
        <f>C135</f>
        <v>(35) Total All Schools</v>
      </c>
      <c r="AT135" s="1035"/>
      <c r="AU135" s="723"/>
      <c r="AV135" s="723"/>
      <c r="AW135" s="723"/>
      <c r="AX135" s="723"/>
      <c r="AY135" s="723"/>
      <c r="AZ135" s="723"/>
      <c r="BA135" s="723"/>
      <c r="BB135" s="723"/>
      <c r="BC135" s="724"/>
      <c r="BD135" s="724"/>
      <c r="BE135" s="724"/>
      <c r="BF135" s="724"/>
      <c r="BG135" s="723"/>
      <c r="BH135" s="723"/>
      <c r="BI135" s="723"/>
      <c r="BJ135" s="154"/>
      <c r="BK135" s="660">
        <f>IF(AND(U135="",$H$1&lt;&gt;"*"),"",IF(AND(U135="",$H$1="*"),"Error 1.1",IF(ISNUMBER(U135)=FALSE,"Error 1.2",IF(ABS(U135-'Table 1'!O13)&gt;1000,"Error 4.2",""))))</f>
      </c>
      <c r="BL135" s="660">
        <f>IF(AND(V135="",$H$1&lt;&gt;"*"),"",IF(AND(V135="",$H$1="*"),"Error 1.1",IF(ISNUMBER(V135)=FALSE,"Error 1.2",IF(ABS(V135-'Table 1'!O15)&gt;1000,"Error 4.3",""))))</f>
      </c>
      <c r="BM135" s="663"/>
      <c r="BN135" s="725"/>
      <c r="BO135" s="660"/>
      <c r="BP135" s="660"/>
      <c r="BQ135" s="660"/>
      <c r="BR135" s="660"/>
      <c r="BS135" s="725"/>
      <c r="BT135" s="725"/>
      <c r="BU135" s="256"/>
      <c r="BV135" s="52"/>
      <c r="BW135" s="605">
        <f>IF(OR(LEFT(AV135,1)="E",LEFT(AX135,1)="E",LEFT(AY135,1)="E",LEFT(AZ135,1)="E",LEFT(BA135,1)="E",LEFT(BB135,1)="E",LEFT(BC135,1)="E",LEFT(BD135,1)="E",LEFT(BE135,1)="E",LEFT(BF135,1)="E",LEFT(BG135,1)="E",LEFT(BH135,1)="E",LEFT(BI135,1)="E",LEFT(BJ135,1)="E",LEFT(BK135,1)="E",LEFT(BL135,1)="E",LEFT(BM135,1)="E",LEFT(BN135,1)="E",LEFT(BO135,1)="E",LEFT(BP135,1)="E",LEFT(BQ135,1)="E",LEFT(BR135,1)="E",LEFT(BS135,1)="E",LEFT(BT135,1)="E"),1,0)</f>
        <v>0</v>
      </c>
    </row>
    <row r="136" spans="23:70" ht="12.75" customHeight="1" thickTop="1">
      <c r="W136" s="52"/>
      <c r="AC136" s="52"/>
      <c r="AD136" s="52"/>
      <c r="BJ136" s="154"/>
      <c r="BK136" s="154"/>
      <c r="BL136" s="154"/>
      <c r="BM136" s="154"/>
      <c r="BN136" s="154"/>
      <c r="BO136" s="154"/>
      <c r="BP136" s="154"/>
      <c r="BQ136" s="154"/>
      <c r="BR136" s="154"/>
    </row>
    <row r="137" spans="3:69" ht="20.25" customHeight="1">
      <c r="C137" s="722" t="s">
        <v>654</v>
      </c>
      <c r="W137" s="52"/>
      <c r="AS137" s="1035" t="str">
        <f>C137</f>
        <v>Memorandum items</v>
      </c>
      <c r="AT137" s="1035"/>
      <c r="BJ137" s="154"/>
      <c r="BK137" s="154"/>
      <c r="BL137" s="154"/>
      <c r="BM137" s="154"/>
      <c r="BQ137" s="15"/>
    </row>
    <row r="138" spans="23:69" ht="12.75" customHeight="1" thickBot="1">
      <c r="W138" s="52"/>
      <c r="BQ138" s="15"/>
    </row>
    <row r="139" spans="3:75" ht="14.25" customHeight="1" thickBot="1">
      <c r="C139" s="977" t="s">
        <v>655</v>
      </c>
      <c r="D139" s="977"/>
      <c r="H139" s="728"/>
      <c r="I139" s="729">
        <f>'Table 3a'!AU103+'Table 3a'!AU128</f>
        <v>40000</v>
      </c>
      <c r="W139" s="52"/>
      <c r="AS139" s="1036" t="str">
        <f>C139</f>
        <v>(36) Academy Funding for SEN pupils that would normally be delegated</v>
      </c>
      <c r="AT139" s="1036"/>
      <c r="AX139" s="731"/>
      <c r="AY139" s="732">
        <f>IF(AND(I139="",$H$1&lt;&gt;"*"),"",IF(AND(I139="",$H$1="*"),"Error 1.1",IF(AND(I139&lt;&gt;"",ISNUMBER(I139)=FALSE),"Error 1.2",IF(I139&lt;0,"Error 1.3",""))))</f>
      </c>
      <c r="BW139" s="605">
        <f>IF(LEN(TRIM(AY139))&gt;0,1,0)</f>
        <v>0</v>
      </c>
    </row>
    <row r="140" spans="23:46" ht="12.75" customHeight="1">
      <c r="W140" s="52"/>
      <c r="AS140" s="39"/>
      <c r="AT140" s="39"/>
    </row>
    <row r="141" spans="3:75" ht="18" customHeight="1">
      <c r="C141" s="977" t="s">
        <v>656</v>
      </c>
      <c r="D141" s="977"/>
      <c r="H141" s="52"/>
      <c r="P141" s="52"/>
      <c r="Q141" s="646">
        <f>SUM(Q135,I139)</f>
        <v>121913376.82679997</v>
      </c>
      <c r="W141" s="728"/>
      <c r="X141" s="657"/>
      <c r="AS141" s="1036" t="str">
        <f>C141</f>
        <v>(37)Total ISB</v>
      </c>
      <c r="AT141" s="1036"/>
      <c r="BG141" s="725">
        <f>IF(AND(Q141="",$H$1&lt;&gt;"*"),"",IF(AND(Q141="",$H$1="*"),"Error 1.1",IF(ISNUMBER(Q141)=FALSE,"Error 1.2",IF(ABS(Q141-'Table 1'!O12)&gt;1000,"Error 4.1",""))))</f>
      </c>
      <c r="BM141" s="52"/>
      <c r="BN141" s="733"/>
      <c r="BO141" s="52"/>
      <c r="BW141" s="605">
        <f>IF(LEN(TRIM(BG141))&gt;0,1,0)</f>
        <v>0</v>
      </c>
    </row>
    <row r="142" spans="23:65" ht="12.75" customHeight="1">
      <c r="W142" s="52"/>
      <c r="AS142" s="39"/>
      <c r="AT142" s="39"/>
      <c r="BM142" s="154"/>
    </row>
    <row r="143" spans="3:75" ht="11.25" customHeight="1">
      <c r="C143" s="984" t="s">
        <v>657</v>
      </c>
      <c r="D143" s="984"/>
      <c r="W143" s="728"/>
      <c r="X143" s="532">
        <v>0</v>
      </c>
      <c r="Y143" s="532">
        <v>0</v>
      </c>
      <c r="Z143" s="532">
        <v>0</v>
      </c>
      <c r="AS143" s="1036" t="str">
        <f>C143</f>
        <v>(38) Academy Specific Grants</v>
      </c>
      <c r="AT143" s="1036"/>
      <c r="BM143" s="731"/>
      <c r="BN143" s="732">
        <f>IF(AND(X143="",$H$1&lt;&gt;"*"),"",IF(AND(X143="",$H$1="*"),"Error 1.1",IF(AND(X143&lt;&gt;"",ISNUMBER(X143)=FALSE),"Error 1.2",IF(X143&lt;0,"Error 1.3",""))))</f>
      </c>
      <c r="BO143" s="732">
        <f>IF(AND(Y143="",$H$1&lt;&gt;"*"),"",IF(AND(Y143="",$H$1="*"),"Error 1.1",IF(AND(Y143&lt;&gt;"",ISNUMBER(Y143)=FALSE),"Error 1.2",IF(Y143&lt;0,"Error 1.3",""))))</f>
      </c>
      <c r="BP143" s="732">
        <f>IF(AND(Z143="",$H$1&lt;&gt;"*"),"",IF(AND(Z143="",$H$1="*"),"Error 1.1",IF(AND(Z143&lt;&gt;"",ISNUMBER(Z143)=FALSE),"Error 1.2",IF(Z143&lt;0,"Error 1.3",""))))</f>
      </c>
      <c r="BW143" s="605">
        <f>IF(LEN(TRIM(BN143&amp;BO143&amp;BP143))&gt;0,1,0)</f>
        <v>0</v>
      </c>
    </row>
    <row r="144" spans="3:75" ht="12.75" customHeight="1">
      <c r="C144" s="977" t="s">
        <v>658</v>
      </c>
      <c r="D144" s="977"/>
      <c r="Q144" s="52"/>
      <c r="X144" s="532">
        <v>227526</v>
      </c>
      <c r="Y144" s="533">
        <v>0</v>
      </c>
      <c r="Z144" s="532">
        <v>1013396.4096145818</v>
      </c>
      <c r="AS144" s="1036" t="str">
        <f>C144</f>
        <v>(39) Unallocated Specific Grants</v>
      </c>
      <c r="AT144" s="1036"/>
      <c r="BM144" s="731"/>
      <c r="BN144" s="732">
        <f>IF(AND(X144="",$H$1&lt;&gt;"*"),"",IF(AND(X144="",$H$1="*"),"Error 1.1",IF(AND(X144&lt;&gt;"",ISNUMBER(X144)=FALSE),"Error 1.2",IF(X144&lt;0,"Error 1.3",""))))</f>
      </c>
      <c r="BO144" s="732">
        <f>IF(AND(Y144="",$H$1&lt;&gt;"*"),"",IF(AND(Y144="",$H$1="*"),"Error 1.1",IF(AND(Y144&lt;&gt;"",ISNUMBER(Y144)=FALSE),"Error 1.2",IF(Y144&lt;0,"Error 1.3",""))))</f>
      </c>
      <c r="BP144" s="732">
        <f>IF(AND(Z144="",$H$1&lt;&gt;"*"),"",IF(AND(Z144="",$H$1="*"),"Error 1.1",IF(ISNUMBER(Z144)=FALSE,"Error 1.2",IF(Z144&lt;0,"Error 1.3",""))))</f>
      </c>
      <c r="BW144" s="605">
        <f>IF(LEN(TRIM(BN144&amp;BO144&amp;BP144))&gt;0,1,0)</f>
        <v>0</v>
      </c>
    </row>
    <row r="145" spans="17:75" ht="12.75" customHeight="1">
      <c r="Q145" s="52"/>
      <c r="X145" s="52"/>
      <c r="AS145" s="39"/>
      <c r="AT145" s="39"/>
      <c r="BM145" s="154"/>
      <c r="BN145" s="15"/>
      <c r="BW145" s="686"/>
    </row>
    <row r="146" spans="3:75" ht="12.75" customHeight="1">
      <c r="C146" s="977"/>
      <c r="D146" s="977"/>
      <c r="Q146" s="728"/>
      <c r="X146" s="52"/>
      <c r="AS146" s="1036"/>
      <c r="AT146" s="1036"/>
      <c r="BF146" s="154"/>
      <c r="BG146" s="664"/>
      <c r="BW146" s="154"/>
    </row>
    <row r="147" spans="17:75" ht="12.75" customHeight="1">
      <c r="Q147" s="52"/>
      <c r="X147" s="52"/>
      <c r="AS147" s="39"/>
      <c r="AT147" s="39"/>
      <c r="BW147" s="688"/>
    </row>
    <row r="148" spans="3:75" ht="12" customHeight="1">
      <c r="C148" s="977" t="s">
        <v>659</v>
      </c>
      <c r="D148" s="977"/>
      <c r="W148" s="734"/>
      <c r="X148" s="735">
        <f>SUM(X135,X143,X144)</f>
        <v>5434470.680920992</v>
      </c>
      <c r="Y148" s="735">
        <f>SUM(Y135,Y143,Y144)</f>
        <v>2474941.3190790075</v>
      </c>
      <c r="Z148" s="735">
        <f>SUM(Z135,Z143,Z144)</f>
        <v>1179771.4096145818</v>
      </c>
      <c r="AA148" s="736"/>
      <c r="AS148" s="1036" t="str">
        <f>C148</f>
        <v>(40)  Total Specific Grants</v>
      </c>
      <c r="AT148" s="1036"/>
      <c r="BM148" s="682"/>
      <c r="BN148" s="660">
        <f>IF(AND(X148="",$H$1&lt;&gt;"*"),"",IF(AND(X148="",$H$1="*"),"Error 1.1",IF(ISNUMBER(X148)=FALSE,"Error 1.2",IF(ABS(X148+Y148-'Table 1'!O17)&gt;1000,"Error 4.4",""))))</f>
      </c>
      <c r="BO148" s="660">
        <f>IF(AND(Y148="",$H$1&lt;&gt;"*"),"",IF(AND(Y148="",$H$1="*"),"Error 1.1",IF(ISNUMBER(Y148)=FALSE,"Error 1.2",IF(ABS(Y148+X148-'Table 1'!O17)&gt;1000,"Error 4.4",""))))</f>
      </c>
      <c r="BP148" s="660">
        <f>IF(AND(Z148="",$H$1&lt;&gt;"*"),"",IF(AND(Z148="",$H$1="*"),"Error 1.1",IF(ISNUMBER(Z148)=FALSE,"Error 1.2",IF(ABS(Z148-'Table 1'!O18)&gt;1000,"Error 4.5",""))))</f>
      </c>
      <c r="BW148" s="605">
        <f>IF(LEN(TRIM(BN148&amp;BO148&amp;BP148))&gt;0,1,0)</f>
        <v>0</v>
      </c>
    </row>
    <row r="149" spans="3:75" ht="12" customHeight="1">
      <c r="C149" s="737"/>
      <c r="D149" s="737"/>
      <c r="V149" s="52"/>
      <c r="W149" s="728"/>
      <c r="X149" s="52"/>
      <c r="AA149" s="738"/>
      <c r="AS149" s="39"/>
      <c r="AT149" s="39"/>
      <c r="BM149" s="712"/>
      <c r="BP149" s="669"/>
      <c r="BW149" s="256"/>
    </row>
    <row r="150" spans="3:75" ht="15.75" customHeight="1">
      <c r="C150" s="977" t="s">
        <v>660</v>
      </c>
      <c r="D150" s="977"/>
      <c r="E150" s="990"/>
      <c r="V150" s="52"/>
      <c r="W150" s="728"/>
      <c r="X150" s="734"/>
      <c r="AA150" s="532">
        <v>0</v>
      </c>
      <c r="AB150" s="736"/>
      <c r="AS150" s="1036" t="str">
        <f>C150</f>
        <v>(41) Unallocated Threshold and Performance Pay</v>
      </c>
      <c r="AT150" s="1036"/>
      <c r="BM150" s="664"/>
      <c r="BN150" s="256"/>
      <c r="BP150" s="690"/>
      <c r="BQ150" s="660">
        <f>IF(AND(AA150="",$H$1&lt;&gt;"*"),"",IF(AND(AA150="",$H$1="*"),"Error 1.1",IF(ISNUMBER(AA150)=FALSE,"Error 1.2",IF(AA150&lt;0,"Error 1.3",""))))</f>
      </c>
      <c r="BW150" s="605">
        <f>IF(LEN(TRIM(BQ150))&gt;0,1,0)</f>
        <v>0</v>
      </c>
    </row>
    <row r="151" spans="3:75" ht="12" customHeight="1">
      <c r="C151" s="739"/>
      <c r="D151" s="739"/>
      <c r="V151" s="52"/>
      <c r="W151" s="728"/>
      <c r="X151" s="734"/>
      <c r="Z151" s="52"/>
      <c r="AA151" s="740"/>
      <c r="AB151" s="728"/>
      <c r="AS151" s="730"/>
      <c r="AT151" s="730"/>
      <c r="BM151" s="712"/>
      <c r="BN151" s="256"/>
      <c r="BP151" s="154"/>
      <c r="BQ151" s="741"/>
      <c r="BR151" s="154"/>
      <c r="BW151" s="256"/>
    </row>
    <row r="152" spans="3:75" ht="18.75" customHeight="1">
      <c r="C152" s="977" t="s">
        <v>661</v>
      </c>
      <c r="D152" s="977"/>
      <c r="W152" s="728"/>
      <c r="X152" s="734"/>
      <c r="Z152" s="52"/>
      <c r="AA152" s="735">
        <f>SUM(AA135,AA150)</f>
        <v>0</v>
      </c>
      <c r="AB152" s="728"/>
      <c r="AS152" s="1036" t="str">
        <f>C152</f>
        <v>(42) Total Threshold and Performance Pay</v>
      </c>
      <c r="AT152" s="1036"/>
      <c r="BM152" s="712"/>
      <c r="BN152" s="256"/>
      <c r="BQ152" s="660">
        <f>IF(AND(AA152="",$H$1&lt;&gt;"*"),"",IF(AND(AA152="",$H$1="*"),"Error 1.1",IF(ISNUMBER(AA152)=FALSE,"Error 1.2",IF(ABS(AA152-'Table 1'!O19)&gt;1000,"Error 4.6",""))))</f>
      </c>
      <c r="BR152" s="742"/>
      <c r="BW152" s="605">
        <f>IF(LEN(TRIM(BQ152))&gt;0,1,0)</f>
        <v>0</v>
      </c>
    </row>
    <row r="153" spans="3:75" ht="12.75" customHeight="1">
      <c r="C153" s="727"/>
      <c r="D153" s="727"/>
      <c r="W153" s="728"/>
      <c r="X153" s="734"/>
      <c r="AA153" s="728"/>
      <c r="AB153" s="738"/>
      <c r="AS153" s="730"/>
      <c r="AT153" s="730"/>
      <c r="BM153" s="712"/>
      <c r="BN153" s="256"/>
      <c r="BP153" s="219"/>
      <c r="BR153" s="680"/>
      <c r="BW153" s="721"/>
    </row>
    <row r="154" spans="3:75" ht="12.75" customHeight="1">
      <c r="C154" s="991" t="s">
        <v>662</v>
      </c>
      <c r="D154" s="992"/>
      <c r="W154" s="728"/>
      <c r="X154" s="734"/>
      <c r="AA154" s="743"/>
      <c r="AB154" s="532">
        <v>0</v>
      </c>
      <c r="AS154" s="730"/>
      <c r="AT154" s="730"/>
      <c r="BM154" s="712"/>
      <c r="BN154" s="256"/>
      <c r="BR154" s="660">
        <f>IF(AND(AB154="",$H$1&lt;&gt;"*"),"",IF(AND(AB154="",$H$1="*"),"Error 1.1",IF(ISNUMBER(AB154)=FALSE,"Error 1.2",IF(AB154&lt;0,"Error 1.3",""))))</f>
      </c>
      <c r="BW154" s="605">
        <f>IF(LEN(TRIM(BR154))&gt;0,1,0)</f>
        <v>0</v>
      </c>
    </row>
    <row r="155" spans="3:75" ht="12.75" customHeight="1">
      <c r="C155" s="727"/>
      <c r="D155" s="727"/>
      <c r="W155" s="728"/>
      <c r="X155" s="734"/>
      <c r="AA155" s="743"/>
      <c r="AB155" s="740"/>
      <c r="AC155" s="52"/>
      <c r="AS155" s="730"/>
      <c r="AT155" s="730"/>
      <c r="BM155" s="712"/>
      <c r="BN155" s="256"/>
      <c r="BP155" s="219"/>
      <c r="BR155" s="741"/>
      <c r="BW155" s="721"/>
    </row>
    <row r="156" spans="3:91" ht="12.75" customHeight="1">
      <c r="C156" s="991" t="s">
        <v>663</v>
      </c>
      <c r="D156" s="993"/>
      <c r="W156" s="728"/>
      <c r="X156" s="734"/>
      <c r="AA156" s="743"/>
      <c r="AB156" s="735">
        <f>SUM(AB135,AB154)</f>
        <v>0</v>
      </c>
      <c r="AS156" s="730"/>
      <c r="AT156" s="730"/>
      <c r="BM156" s="712"/>
      <c r="BN156" s="256"/>
      <c r="BR156" s="660">
        <f>IF(AND(AB156="",$H$1&lt;&gt;"*"),"",IF(AND(AB156="",$H$1="*"),"Error 1.1",IF(ISNUMBER(AB156)=FALSE,"Error 1.2",IF(ABS(AB156-'Table 1'!O22)&gt;1000,"Error 4.12",""))))</f>
      </c>
      <c r="BW156" s="605">
        <f>IF(LEN(TRIM(BR156))&gt;0,1,0)</f>
        <v>0</v>
      </c>
      <c r="CE156" s="52"/>
      <c r="CF156" s="52"/>
      <c r="CG156" s="52"/>
      <c r="CH156" s="52"/>
      <c r="CI156" s="52"/>
      <c r="CJ156" s="52"/>
      <c r="CK156" s="52"/>
      <c r="CL156" s="52"/>
      <c r="CM156" s="52"/>
    </row>
    <row r="157" spans="65:91" ht="12.75" customHeight="1" thickBot="1">
      <c r="BM157" s="15"/>
      <c r="CD157" s="744"/>
      <c r="CE157" s="745"/>
      <c r="CF157" s="745"/>
      <c r="CG157" s="745"/>
      <c r="CH157" s="745"/>
      <c r="CI157" s="745"/>
      <c r="CJ157" s="745"/>
      <c r="CK157" s="745"/>
      <c r="CL157" s="745"/>
      <c r="CM157" s="745"/>
    </row>
    <row r="158" spans="2:91" ht="12.75" customHeight="1">
      <c r="B158" s="746"/>
      <c r="C158" s="994" t="s">
        <v>664</v>
      </c>
      <c r="D158" s="995"/>
      <c r="E158" s="995"/>
      <c r="F158" s="995"/>
      <c r="G158" s="995"/>
      <c r="H158" s="995"/>
      <c r="I158" s="996"/>
      <c r="J158" s="747"/>
      <c r="K158" s="747"/>
      <c r="L158" s="747"/>
      <c r="M158" s="747"/>
      <c r="N158" s="747"/>
      <c r="O158" s="747"/>
      <c r="P158" s="747"/>
      <c r="AS158" s="1109" t="s">
        <v>665</v>
      </c>
      <c r="AT158" s="1110"/>
      <c r="AU158" s="1110"/>
      <c r="AV158" s="1110"/>
      <c r="AW158" s="1110"/>
      <c r="AX158" s="1110"/>
      <c r="AY158" s="1111"/>
      <c r="AZ158" s="747"/>
      <c r="BA158" s="747"/>
      <c r="BB158" s="747"/>
      <c r="BC158" s="747"/>
      <c r="BD158" s="747"/>
      <c r="BE158" s="747"/>
      <c r="BF158" s="747"/>
      <c r="CA158" s="744"/>
      <c r="CB158" s="744"/>
      <c r="CC158" s="744"/>
      <c r="CD158" s="744"/>
      <c r="CE158" s="748"/>
      <c r="CF158" s="748"/>
      <c r="CG158" s="748"/>
      <c r="CH158" s="748"/>
      <c r="CI158" s="748"/>
      <c r="CJ158" s="748"/>
      <c r="CK158" s="748"/>
      <c r="CL158" s="748"/>
      <c r="CM158" s="749"/>
    </row>
    <row r="159" spans="2:111" ht="13.5" thickBot="1">
      <c r="B159" s="746"/>
      <c r="C159" s="1106" t="s">
        <v>666</v>
      </c>
      <c r="D159" s="1107"/>
      <c r="E159" s="1107"/>
      <c r="F159" s="1107"/>
      <c r="G159" s="1107"/>
      <c r="H159" s="1107"/>
      <c r="I159" s="1108"/>
      <c r="J159" s="747"/>
      <c r="K159" s="747"/>
      <c r="L159" s="747"/>
      <c r="M159" s="747"/>
      <c r="N159" s="747"/>
      <c r="O159" s="747"/>
      <c r="P159" s="747"/>
      <c r="AS159" s="1112" t="s">
        <v>667</v>
      </c>
      <c r="AT159" s="1113"/>
      <c r="AU159" s="1113"/>
      <c r="AV159" s="1113"/>
      <c r="AW159" s="1113"/>
      <c r="AX159" s="1113"/>
      <c r="AY159" s="1114"/>
      <c r="AZ159" s="747"/>
      <c r="BA159" s="747"/>
      <c r="BB159" s="747"/>
      <c r="BC159" s="747"/>
      <c r="BD159" s="747"/>
      <c r="BE159" s="747"/>
      <c r="BF159" s="747"/>
      <c r="CA159" s="744"/>
      <c r="CB159" s="744"/>
      <c r="CC159" s="744"/>
      <c r="CE159" s="750"/>
      <c r="CF159" s="750"/>
      <c r="CG159" s="750"/>
      <c r="CH159" s="750"/>
      <c r="CI159" s="750"/>
      <c r="CJ159" s="750"/>
      <c r="CK159" s="750"/>
      <c r="CL159" s="750"/>
      <c r="CM159" s="751"/>
      <c r="DG159" s="3">
        <f>LEN(TRIM(C160))</f>
        <v>0</v>
      </c>
    </row>
    <row r="160" spans="2:111" ht="12.75">
      <c r="B160" s="60"/>
      <c r="C160" s="997"/>
      <c r="D160" s="998"/>
      <c r="E160" s="998"/>
      <c r="F160" s="998"/>
      <c r="G160" s="998"/>
      <c r="H160" s="998"/>
      <c r="I160" s="999"/>
      <c r="J160" s="752"/>
      <c r="K160" s="752"/>
      <c r="L160" s="752"/>
      <c r="M160" s="752"/>
      <c r="N160" s="752"/>
      <c r="O160" s="752"/>
      <c r="P160" s="752"/>
      <c r="AS160" s="1117"/>
      <c r="AT160" s="1118"/>
      <c r="AU160" s="1118"/>
      <c r="AV160" s="1118"/>
      <c r="AW160" s="1118"/>
      <c r="AX160" s="1118"/>
      <c r="AY160" s="1119"/>
      <c r="AZ160" s="752"/>
      <c r="BA160" s="752"/>
      <c r="BB160" s="752"/>
      <c r="BC160" s="752"/>
      <c r="BD160" s="752"/>
      <c r="BE160" s="752"/>
      <c r="BF160" s="752"/>
      <c r="CA160" s="753"/>
      <c r="CB160" s="753"/>
      <c r="CC160" s="753"/>
      <c r="CD160" s="753"/>
      <c r="CE160" s="428"/>
      <c r="CF160" s="428"/>
      <c r="CG160" s="428"/>
      <c r="CH160" s="428"/>
      <c r="CI160" s="428"/>
      <c r="CJ160" s="428"/>
      <c r="CK160" s="428"/>
      <c r="CL160" s="428"/>
      <c r="CM160" s="755"/>
      <c r="DG160" s="3">
        <f aca="true" t="shared" si="111" ref="DG160:DG186">LEN(TRIM(C161))</f>
        <v>76</v>
      </c>
    </row>
    <row r="161" spans="2:111" ht="12.75">
      <c r="B161" s="60"/>
      <c r="C161" s="987" t="s">
        <v>668</v>
      </c>
      <c r="D161" s="988"/>
      <c r="E161" s="988"/>
      <c r="F161" s="988"/>
      <c r="G161" s="988"/>
      <c r="H161" s="988"/>
      <c r="I161" s="989"/>
      <c r="J161" s="752"/>
      <c r="K161" s="752"/>
      <c r="L161" s="752"/>
      <c r="M161" s="752"/>
      <c r="N161" s="752"/>
      <c r="O161" s="752"/>
      <c r="P161" s="752"/>
      <c r="AS161" s="1120"/>
      <c r="AT161" s="1121"/>
      <c r="AU161" s="1121"/>
      <c r="AV161" s="1121"/>
      <c r="AW161" s="1121"/>
      <c r="AX161" s="1121"/>
      <c r="AY161" s="1122"/>
      <c r="AZ161" s="752"/>
      <c r="BA161" s="752"/>
      <c r="BB161" s="752"/>
      <c r="BC161" s="752"/>
      <c r="BD161" s="752"/>
      <c r="BE161" s="752"/>
      <c r="BF161" s="752"/>
      <c r="CA161" s="753"/>
      <c r="CB161" s="753"/>
      <c r="CC161" s="753"/>
      <c r="CD161" s="753"/>
      <c r="CE161" s="428"/>
      <c r="CF161" s="428"/>
      <c r="CG161" s="428"/>
      <c r="CH161" s="428"/>
      <c r="CI161" s="428"/>
      <c r="CJ161" s="428"/>
      <c r="CK161" s="428"/>
      <c r="CL161" s="428"/>
      <c r="CM161" s="755"/>
      <c r="DG161" s="3">
        <f t="shared" si="111"/>
        <v>0</v>
      </c>
    </row>
    <row r="162" spans="2:111" ht="12.75">
      <c r="B162" s="60"/>
      <c r="C162" s="987"/>
      <c r="D162" s="988"/>
      <c r="E162" s="988"/>
      <c r="F162" s="988"/>
      <c r="G162" s="988"/>
      <c r="H162" s="988"/>
      <c r="I162" s="989"/>
      <c r="J162" s="752"/>
      <c r="K162" s="752"/>
      <c r="L162" s="752"/>
      <c r="M162" s="752"/>
      <c r="N162" s="752"/>
      <c r="O162" s="752"/>
      <c r="P162" s="752"/>
      <c r="AS162" s="1120"/>
      <c r="AT162" s="1121"/>
      <c r="AU162" s="1121"/>
      <c r="AV162" s="1121"/>
      <c r="AW162" s="1121"/>
      <c r="AX162" s="1121"/>
      <c r="AY162" s="1122"/>
      <c r="AZ162" s="752"/>
      <c r="BA162" s="752"/>
      <c r="BB162" s="752"/>
      <c r="BC162" s="752"/>
      <c r="BD162" s="752"/>
      <c r="BE162" s="752"/>
      <c r="BF162" s="752"/>
      <c r="CA162" s="753"/>
      <c r="CB162" s="753"/>
      <c r="CC162" s="753"/>
      <c r="CD162" s="753"/>
      <c r="CE162" s="428"/>
      <c r="CF162" s="428"/>
      <c r="CG162" s="428"/>
      <c r="CH162" s="428"/>
      <c r="CI162" s="428"/>
      <c r="CJ162" s="428"/>
      <c r="CK162" s="428"/>
      <c r="CL162" s="428"/>
      <c r="CM162" s="755"/>
      <c r="DG162" s="3">
        <f t="shared" si="111"/>
        <v>0</v>
      </c>
    </row>
    <row r="163" spans="2:111" ht="12.75">
      <c r="B163" s="60"/>
      <c r="C163" s="987"/>
      <c r="D163" s="988"/>
      <c r="E163" s="988"/>
      <c r="F163" s="988"/>
      <c r="G163" s="988"/>
      <c r="H163" s="988"/>
      <c r="I163" s="989"/>
      <c r="J163" s="752"/>
      <c r="K163" s="752"/>
      <c r="L163" s="752"/>
      <c r="M163" s="752"/>
      <c r="N163" s="752"/>
      <c r="O163" s="752"/>
      <c r="P163" s="752"/>
      <c r="AS163" s="1120"/>
      <c r="AT163" s="1121"/>
      <c r="AU163" s="1121"/>
      <c r="AV163" s="1121"/>
      <c r="AW163" s="1121"/>
      <c r="AX163" s="1121"/>
      <c r="AY163" s="1122"/>
      <c r="AZ163" s="752"/>
      <c r="BA163" s="752"/>
      <c r="BB163" s="752"/>
      <c r="BC163" s="752"/>
      <c r="BD163" s="752"/>
      <c r="BE163" s="752"/>
      <c r="BF163" s="752"/>
      <c r="CA163" s="753"/>
      <c r="CB163" s="753"/>
      <c r="CC163" s="753"/>
      <c r="CD163" s="753"/>
      <c r="CE163" s="428"/>
      <c r="CF163" s="428"/>
      <c r="CG163" s="428"/>
      <c r="CH163" s="428"/>
      <c r="CI163" s="428"/>
      <c r="CJ163" s="428"/>
      <c r="CK163" s="428"/>
      <c r="CL163" s="428"/>
      <c r="CM163" s="755"/>
      <c r="DG163" s="3">
        <f t="shared" si="111"/>
        <v>0</v>
      </c>
    </row>
    <row r="164" spans="2:111" ht="12.75">
      <c r="B164" s="60"/>
      <c r="C164" s="987"/>
      <c r="D164" s="988"/>
      <c r="E164" s="988"/>
      <c r="F164" s="988"/>
      <c r="G164" s="988"/>
      <c r="H164" s="988"/>
      <c r="I164" s="989"/>
      <c r="J164" s="752"/>
      <c r="K164" s="752"/>
      <c r="L164" s="752"/>
      <c r="M164" s="752"/>
      <c r="N164" s="752"/>
      <c r="O164" s="752"/>
      <c r="P164" s="752"/>
      <c r="AS164" s="1120"/>
      <c r="AT164" s="1121"/>
      <c r="AU164" s="1121"/>
      <c r="AV164" s="1121"/>
      <c r="AW164" s="1121"/>
      <c r="AX164" s="1121"/>
      <c r="AY164" s="1122"/>
      <c r="AZ164" s="752"/>
      <c r="BA164" s="752"/>
      <c r="BB164" s="752"/>
      <c r="BC164" s="752"/>
      <c r="BD164" s="752"/>
      <c r="BE164" s="752"/>
      <c r="BF164" s="752"/>
      <c r="CA164" s="753"/>
      <c r="CB164" s="753"/>
      <c r="CC164" s="753"/>
      <c r="CD164" s="753"/>
      <c r="CE164" s="428"/>
      <c r="CF164" s="428"/>
      <c r="CG164" s="428"/>
      <c r="CH164" s="428"/>
      <c r="CI164" s="428"/>
      <c r="CJ164" s="428"/>
      <c r="CK164" s="428"/>
      <c r="CL164" s="428"/>
      <c r="CM164" s="755"/>
      <c r="DG164" s="3">
        <f t="shared" si="111"/>
        <v>0</v>
      </c>
    </row>
    <row r="165" spans="2:111" ht="12.75">
      <c r="B165" s="60"/>
      <c r="C165" s="987"/>
      <c r="D165" s="988"/>
      <c r="E165" s="988"/>
      <c r="F165" s="988"/>
      <c r="G165" s="988"/>
      <c r="H165" s="988"/>
      <c r="I165" s="989"/>
      <c r="J165" s="752"/>
      <c r="K165" s="752"/>
      <c r="L165" s="752"/>
      <c r="M165" s="752"/>
      <c r="N165" s="752"/>
      <c r="O165" s="752"/>
      <c r="P165" s="752"/>
      <c r="AS165" s="1120"/>
      <c r="AT165" s="1121"/>
      <c r="AU165" s="1121"/>
      <c r="AV165" s="1121"/>
      <c r="AW165" s="1121"/>
      <c r="AX165" s="1121"/>
      <c r="AY165" s="1122"/>
      <c r="AZ165" s="752"/>
      <c r="BA165" s="752"/>
      <c r="BB165" s="752"/>
      <c r="BC165" s="752"/>
      <c r="BD165" s="752"/>
      <c r="BE165" s="752"/>
      <c r="BF165" s="752"/>
      <c r="CA165" s="753"/>
      <c r="CB165" s="753"/>
      <c r="CC165" s="753"/>
      <c r="CD165" s="753"/>
      <c r="CE165" s="428"/>
      <c r="CF165" s="428"/>
      <c r="CG165" s="428"/>
      <c r="CH165" s="428"/>
      <c r="CI165" s="428"/>
      <c r="CJ165" s="428"/>
      <c r="CK165" s="428"/>
      <c r="CL165" s="428"/>
      <c r="CM165" s="755"/>
      <c r="DG165" s="3">
        <f t="shared" si="111"/>
        <v>0</v>
      </c>
    </row>
    <row r="166" spans="2:111" ht="12.75">
      <c r="B166" s="60"/>
      <c r="C166" s="987"/>
      <c r="D166" s="988"/>
      <c r="E166" s="988"/>
      <c r="F166" s="988"/>
      <c r="G166" s="988"/>
      <c r="H166" s="988"/>
      <c r="I166" s="989"/>
      <c r="J166" s="752"/>
      <c r="K166" s="752"/>
      <c r="L166" s="752"/>
      <c r="M166" s="752"/>
      <c r="N166" s="752"/>
      <c r="O166" s="752"/>
      <c r="P166" s="752"/>
      <c r="AS166" s="1120"/>
      <c r="AT166" s="1121"/>
      <c r="AU166" s="1121"/>
      <c r="AV166" s="1121"/>
      <c r="AW166" s="1121"/>
      <c r="AX166" s="1121"/>
      <c r="AY166" s="1122"/>
      <c r="AZ166" s="752"/>
      <c r="BA166" s="752"/>
      <c r="BB166" s="752"/>
      <c r="BC166" s="752"/>
      <c r="BD166" s="752"/>
      <c r="BE166" s="752"/>
      <c r="BF166" s="752"/>
      <c r="CA166" s="753"/>
      <c r="CB166" s="753"/>
      <c r="CC166" s="753"/>
      <c r="CD166" s="753"/>
      <c r="CE166" s="428"/>
      <c r="CF166" s="428"/>
      <c r="CG166" s="428"/>
      <c r="CH166" s="428"/>
      <c r="CI166" s="428"/>
      <c r="CJ166" s="428"/>
      <c r="CK166" s="428"/>
      <c r="CL166" s="428"/>
      <c r="CM166" s="755"/>
      <c r="DG166" s="3">
        <f t="shared" si="111"/>
        <v>0</v>
      </c>
    </row>
    <row r="167" spans="2:111" ht="12.75">
      <c r="B167" s="60"/>
      <c r="C167" s="987"/>
      <c r="D167" s="988"/>
      <c r="E167" s="988"/>
      <c r="F167" s="988"/>
      <c r="G167" s="988"/>
      <c r="H167" s="988"/>
      <c r="I167" s="989"/>
      <c r="J167" s="752"/>
      <c r="K167" s="752"/>
      <c r="L167" s="752"/>
      <c r="M167" s="752"/>
      <c r="N167" s="752"/>
      <c r="O167" s="752"/>
      <c r="P167" s="752"/>
      <c r="AS167" s="1120"/>
      <c r="AT167" s="1121"/>
      <c r="AU167" s="1121"/>
      <c r="AV167" s="1121"/>
      <c r="AW167" s="1121"/>
      <c r="AX167" s="1121"/>
      <c r="AY167" s="1122"/>
      <c r="AZ167" s="752"/>
      <c r="BA167" s="752"/>
      <c r="BB167" s="752"/>
      <c r="BC167" s="752"/>
      <c r="BD167" s="752"/>
      <c r="BE167" s="752"/>
      <c r="BF167" s="752"/>
      <c r="CA167" s="753"/>
      <c r="CB167" s="753"/>
      <c r="CC167" s="753"/>
      <c r="CD167" s="753"/>
      <c r="CE167" s="428"/>
      <c r="CF167" s="428"/>
      <c r="CG167" s="428"/>
      <c r="CH167" s="428"/>
      <c r="CI167" s="428"/>
      <c r="CJ167" s="428"/>
      <c r="CK167" s="428"/>
      <c r="CL167" s="428"/>
      <c r="CM167" s="755"/>
      <c r="DG167" s="3">
        <f t="shared" si="111"/>
        <v>0</v>
      </c>
    </row>
    <row r="168" spans="2:111" ht="12.75">
      <c r="B168" s="60"/>
      <c r="C168" s="987"/>
      <c r="D168" s="988"/>
      <c r="E168" s="988"/>
      <c r="F168" s="988"/>
      <c r="G168" s="988"/>
      <c r="H168" s="988"/>
      <c r="I168" s="989"/>
      <c r="J168" s="752"/>
      <c r="K168" s="752"/>
      <c r="L168" s="752"/>
      <c r="M168" s="752"/>
      <c r="N168" s="752"/>
      <c r="O168" s="752"/>
      <c r="P168" s="752"/>
      <c r="AS168" s="1120"/>
      <c r="AT168" s="1121"/>
      <c r="AU168" s="1121"/>
      <c r="AV168" s="1121"/>
      <c r="AW168" s="1121"/>
      <c r="AX168" s="1121"/>
      <c r="AY168" s="1122"/>
      <c r="AZ168" s="752"/>
      <c r="BA168" s="752"/>
      <c r="BB168" s="752"/>
      <c r="BC168" s="752"/>
      <c r="BD168" s="752"/>
      <c r="BE168" s="752"/>
      <c r="BF168" s="752"/>
      <c r="CA168" s="753"/>
      <c r="CB168" s="753"/>
      <c r="CC168" s="753"/>
      <c r="CD168" s="753"/>
      <c r="CE168" s="428"/>
      <c r="CF168" s="428"/>
      <c r="CG168" s="428"/>
      <c r="CH168" s="428"/>
      <c r="CI168" s="428"/>
      <c r="CJ168" s="428"/>
      <c r="CK168" s="428"/>
      <c r="CL168" s="428"/>
      <c r="CM168" s="755"/>
      <c r="DG168" s="3">
        <f t="shared" si="111"/>
        <v>0</v>
      </c>
    </row>
    <row r="169" spans="2:111" ht="12.75">
      <c r="B169" s="60"/>
      <c r="C169" s="987"/>
      <c r="D169" s="988"/>
      <c r="E169" s="988"/>
      <c r="F169" s="988"/>
      <c r="G169" s="988"/>
      <c r="H169" s="988"/>
      <c r="I169" s="989"/>
      <c r="J169" s="752"/>
      <c r="K169" s="752"/>
      <c r="L169" s="752"/>
      <c r="M169" s="752"/>
      <c r="N169" s="752"/>
      <c r="O169" s="752"/>
      <c r="P169" s="752"/>
      <c r="AS169" s="1120"/>
      <c r="AT169" s="1121"/>
      <c r="AU169" s="1121"/>
      <c r="AV169" s="1121"/>
      <c r="AW169" s="1121"/>
      <c r="AX169" s="1121"/>
      <c r="AY169" s="1122"/>
      <c r="AZ169" s="752"/>
      <c r="BA169" s="752"/>
      <c r="BB169" s="752"/>
      <c r="BC169" s="752"/>
      <c r="BD169" s="752"/>
      <c r="BE169" s="752"/>
      <c r="BF169" s="752"/>
      <c r="CA169" s="753"/>
      <c r="CB169" s="753"/>
      <c r="CC169" s="753"/>
      <c r="CD169" s="753"/>
      <c r="CE169" s="428"/>
      <c r="CF169" s="428"/>
      <c r="CG169" s="428"/>
      <c r="CH169" s="428"/>
      <c r="CI169" s="428"/>
      <c r="CJ169" s="428"/>
      <c r="CK169" s="428"/>
      <c r="CL169" s="428"/>
      <c r="CM169" s="755"/>
      <c r="DG169" s="3">
        <f t="shared" si="111"/>
        <v>0</v>
      </c>
    </row>
    <row r="170" spans="2:111" ht="12.75">
      <c r="B170" s="60"/>
      <c r="C170" s="987"/>
      <c r="D170" s="988"/>
      <c r="E170" s="988"/>
      <c r="F170" s="988"/>
      <c r="G170" s="988"/>
      <c r="H170" s="988"/>
      <c r="I170" s="989"/>
      <c r="J170" s="752"/>
      <c r="K170" s="752"/>
      <c r="L170" s="752"/>
      <c r="M170" s="752"/>
      <c r="N170" s="752"/>
      <c r="O170" s="752"/>
      <c r="P170" s="752"/>
      <c r="AS170" s="1120"/>
      <c r="AT170" s="1121"/>
      <c r="AU170" s="1121"/>
      <c r="AV170" s="1121"/>
      <c r="AW170" s="1121"/>
      <c r="AX170" s="1121"/>
      <c r="AY170" s="1122"/>
      <c r="AZ170" s="752"/>
      <c r="BA170" s="752"/>
      <c r="BB170" s="752"/>
      <c r="BC170" s="752"/>
      <c r="BD170" s="752"/>
      <c r="BE170" s="752"/>
      <c r="BF170" s="752"/>
      <c r="CA170" s="753"/>
      <c r="CB170" s="753"/>
      <c r="CC170" s="753"/>
      <c r="CD170" s="753"/>
      <c r="CE170" s="428"/>
      <c r="CF170" s="428"/>
      <c r="CG170" s="428"/>
      <c r="CH170" s="428"/>
      <c r="CI170" s="428"/>
      <c r="CJ170" s="428"/>
      <c r="CK170" s="428"/>
      <c r="CL170" s="428"/>
      <c r="CM170" s="755"/>
      <c r="DG170" s="3">
        <f t="shared" si="111"/>
        <v>0</v>
      </c>
    </row>
    <row r="171" spans="2:111" ht="12.75">
      <c r="B171" s="60"/>
      <c r="C171" s="987"/>
      <c r="D171" s="988"/>
      <c r="E171" s="988"/>
      <c r="F171" s="988"/>
      <c r="G171" s="988"/>
      <c r="H171" s="988"/>
      <c r="I171" s="989"/>
      <c r="J171" s="752"/>
      <c r="K171" s="752"/>
      <c r="L171" s="752"/>
      <c r="M171" s="752"/>
      <c r="N171" s="752"/>
      <c r="O171" s="752"/>
      <c r="P171" s="752"/>
      <c r="AS171" s="1120"/>
      <c r="AT171" s="1121"/>
      <c r="AU171" s="1121"/>
      <c r="AV171" s="1121"/>
      <c r="AW171" s="1121"/>
      <c r="AX171" s="1121"/>
      <c r="AY171" s="1122"/>
      <c r="AZ171" s="752"/>
      <c r="BA171" s="752"/>
      <c r="BB171" s="752"/>
      <c r="BC171" s="752"/>
      <c r="BD171" s="752"/>
      <c r="BE171" s="752"/>
      <c r="BF171" s="752"/>
      <c r="CA171" s="753"/>
      <c r="CB171" s="753"/>
      <c r="CC171" s="753"/>
      <c r="CD171" s="753"/>
      <c r="CE171" s="428"/>
      <c r="CF171" s="428"/>
      <c r="CG171" s="428"/>
      <c r="CH171" s="428"/>
      <c r="CI171" s="428"/>
      <c r="CJ171" s="428"/>
      <c r="CK171" s="428"/>
      <c r="CL171" s="428"/>
      <c r="CM171" s="755"/>
      <c r="DG171" s="3">
        <f t="shared" si="111"/>
        <v>0</v>
      </c>
    </row>
    <row r="172" spans="2:111" ht="12.75">
      <c r="B172" s="60"/>
      <c r="C172" s="987"/>
      <c r="D172" s="988"/>
      <c r="E172" s="988"/>
      <c r="F172" s="988"/>
      <c r="G172" s="988"/>
      <c r="H172" s="988"/>
      <c r="I172" s="989"/>
      <c r="J172" s="752"/>
      <c r="K172" s="752"/>
      <c r="L172" s="752"/>
      <c r="M172" s="752"/>
      <c r="N172" s="752"/>
      <c r="O172" s="752"/>
      <c r="P172" s="752"/>
      <c r="AS172" s="1120"/>
      <c r="AT172" s="1121"/>
      <c r="AU172" s="1121"/>
      <c r="AV172" s="1121"/>
      <c r="AW172" s="1121"/>
      <c r="AX172" s="1121"/>
      <c r="AY172" s="1122"/>
      <c r="AZ172" s="752"/>
      <c r="BA172" s="752"/>
      <c r="BB172" s="752"/>
      <c r="BC172" s="752"/>
      <c r="BD172" s="752"/>
      <c r="BE172" s="752"/>
      <c r="BF172" s="752"/>
      <c r="CA172" s="753"/>
      <c r="CB172" s="753"/>
      <c r="CC172" s="753"/>
      <c r="CD172" s="753"/>
      <c r="CE172" s="428"/>
      <c r="CF172" s="428"/>
      <c r="CG172" s="428"/>
      <c r="CH172" s="428"/>
      <c r="CI172" s="428"/>
      <c r="CJ172" s="428"/>
      <c r="CK172" s="428"/>
      <c r="CL172" s="428"/>
      <c r="CM172" s="755"/>
      <c r="DG172" s="3">
        <f t="shared" si="111"/>
        <v>0</v>
      </c>
    </row>
    <row r="173" spans="2:111" ht="12.75">
      <c r="B173" s="60"/>
      <c r="C173" s="987"/>
      <c r="D173" s="988"/>
      <c r="E173" s="988"/>
      <c r="F173" s="988"/>
      <c r="G173" s="988"/>
      <c r="H173" s="988"/>
      <c r="I173" s="989"/>
      <c r="J173" s="752"/>
      <c r="K173" s="752"/>
      <c r="L173" s="752"/>
      <c r="M173" s="752"/>
      <c r="N173" s="752"/>
      <c r="O173" s="752"/>
      <c r="P173" s="752"/>
      <c r="AS173" s="1120"/>
      <c r="AT173" s="1121"/>
      <c r="AU173" s="1121"/>
      <c r="AV173" s="1121"/>
      <c r="AW173" s="1121"/>
      <c r="AX173" s="1121"/>
      <c r="AY173" s="1122"/>
      <c r="AZ173" s="752"/>
      <c r="BA173" s="752"/>
      <c r="BB173" s="752"/>
      <c r="BC173" s="752"/>
      <c r="BD173" s="752"/>
      <c r="BE173" s="752"/>
      <c r="BF173" s="752"/>
      <c r="CA173" s="753"/>
      <c r="CB173" s="753"/>
      <c r="CC173" s="753"/>
      <c r="CD173" s="753"/>
      <c r="CE173" s="428"/>
      <c r="CF173" s="428"/>
      <c r="CG173" s="428"/>
      <c r="CH173" s="428"/>
      <c r="CI173" s="428"/>
      <c r="CJ173" s="428"/>
      <c r="CK173" s="428"/>
      <c r="CL173" s="428"/>
      <c r="CM173" s="755"/>
      <c r="DG173" s="3">
        <f t="shared" si="111"/>
        <v>0</v>
      </c>
    </row>
    <row r="174" spans="2:111" ht="12.75">
      <c r="B174" s="60"/>
      <c r="C174" s="756"/>
      <c r="D174" s="757"/>
      <c r="E174" s="757"/>
      <c r="F174" s="757"/>
      <c r="G174" s="757"/>
      <c r="H174" s="757"/>
      <c r="I174" s="758"/>
      <c r="J174" s="752"/>
      <c r="K174" s="752"/>
      <c r="L174" s="752"/>
      <c r="M174" s="752"/>
      <c r="N174" s="752"/>
      <c r="O174" s="752"/>
      <c r="P174" s="752"/>
      <c r="AS174" s="31"/>
      <c r="AT174" s="32"/>
      <c r="AU174" s="32"/>
      <c r="AV174" s="32"/>
      <c r="AW174" s="32"/>
      <c r="AX174" s="32"/>
      <c r="AY174" s="759"/>
      <c r="AZ174" s="752"/>
      <c r="BA174" s="752"/>
      <c r="BB174" s="752"/>
      <c r="BC174" s="752"/>
      <c r="BD174" s="752"/>
      <c r="BE174" s="752"/>
      <c r="BF174" s="752"/>
      <c r="CA174" s="753"/>
      <c r="CB174" s="753"/>
      <c r="CC174" s="753"/>
      <c r="CD174" s="753"/>
      <c r="CE174" s="428"/>
      <c r="CF174" s="428"/>
      <c r="CG174" s="428"/>
      <c r="CH174" s="428"/>
      <c r="CI174" s="428"/>
      <c r="CJ174" s="428"/>
      <c r="CK174" s="428"/>
      <c r="CL174" s="428"/>
      <c r="CM174" s="755"/>
      <c r="DG174" s="3">
        <f t="shared" si="111"/>
        <v>0</v>
      </c>
    </row>
    <row r="175" spans="2:111" ht="12.75">
      <c r="B175" s="60"/>
      <c r="C175" s="756"/>
      <c r="D175" s="757"/>
      <c r="E175" s="757"/>
      <c r="F175" s="757"/>
      <c r="G175" s="757"/>
      <c r="H175" s="757"/>
      <c r="I175" s="758"/>
      <c r="J175" s="752"/>
      <c r="K175" s="752"/>
      <c r="L175" s="752"/>
      <c r="M175" s="752"/>
      <c r="N175" s="752"/>
      <c r="O175" s="752"/>
      <c r="P175" s="752"/>
      <c r="AS175" s="31"/>
      <c r="AT175" s="32"/>
      <c r="AU175" s="32"/>
      <c r="AV175" s="32"/>
      <c r="AW175" s="32"/>
      <c r="AX175" s="32"/>
      <c r="AY175" s="759"/>
      <c r="AZ175" s="752"/>
      <c r="BA175" s="752"/>
      <c r="BB175" s="752"/>
      <c r="BC175" s="752"/>
      <c r="BD175" s="752"/>
      <c r="BE175" s="752"/>
      <c r="BF175" s="752"/>
      <c r="CA175" s="753"/>
      <c r="CB175" s="753"/>
      <c r="CC175" s="753"/>
      <c r="CD175" s="753"/>
      <c r="CE175" s="428"/>
      <c r="CF175" s="428"/>
      <c r="CG175" s="428"/>
      <c r="CH175" s="428"/>
      <c r="CI175" s="428"/>
      <c r="CJ175" s="428"/>
      <c r="CK175" s="428"/>
      <c r="CL175" s="428"/>
      <c r="CM175" s="755"/>
      <c r="DG175" s="3">
        <f t="shared" si="111"/>
        <v>0</v>
      </c>
    </row>
    <row r="176" spans="2:111" ht="12.75">
      <c r="B176" s="60"/>
      <c r="C176" s="756"/>
      <c r="D176" s="757"/>
      <c r="E176" s="757"/>
      <c r="F176" s="757"/>
      <c r="G176" s="757"/>
      <c r="H176" s="757"/>
      <c r="I176" s="758"/>
      <c r="J176" s="752"/>
      <c r="K176" s="752"/>
      <c r="L176" s="752"/>
      <c r="M176" s="752"/>
      <c r="N176" s="752"/>
      <c r="O176" s="752"/>
      <c r="P176" s="752"/>
      <c r="AS176" s="31"/>
      <c r="AT176" s="32"/>
      <c r="AU176" s="32"/>
      <c r="AV176" s="32"/>
      <c r="AW176" s="32"/>
      <c r="AX176" s="32"/>
      <c r="AY176" s="759"/>
      <c r="AZ176" s="752"/>
      <c r="BA176" s="752"/>
      <c r="BB176" s="752"/>
      <c r="BC176" s="752"/>
      <c r="BD176" s="752"/>
      <c r="BE176" s="752"/>
      <c r="BF176" s="752"/>
      <c r="CA176" s="753"/>
      <c r="CB176" s="753"/>
      <c r="CC176" s="753"/>
      <c r="CD176" s="753"/>
      <c r="CE176" s="428"/>
      <c r="CF176" s="428"/>
      <c r="CG176" s="428"/>
      <c r="CH176" s="428"/>
      <c r="CI176" s="428"/>
      <c r="CJ176" s="428"/>
      <c r="CK176" s="428"/>
      <c r="CL176" s="428"/>
      <c r="CM176" s="755"/>
      <c r="DG176" s="3">
        <f t="shared" si="111"/>
        <v>0</v>
      </c>
    </row>
    <row r="177" spans="2:111" ht="12.75">
      <c r="B177" s="60"/>
      <c r="C177" s="756"/>
      <c r="D177" s="757"/>
      <c r="E177" s="757"/>
      <c r="F177" s="757"/>
      <c r="G177" s="757"/>
      <c r="H177" s="757"/>
      <c r="I177" s="758"/>
      <c r="J177" s="752"/>
      <c r="K177" s="752"/>
      <c r="L177" s="752"/>
      <c r="M177" s="752"/>
      <c r="N177" s="752"/>
      <c r="O177" s="752"/>
      <c r="P177" s="752"/>
      <c r="AS177" s="31"/>
      <c r="AT177" s="32"/>
      <c r="AU177" s="32"/>
      <c r="AV177" s="32"/>
      <c r="AW177" s="32"/>
      <c r="AX177" s="32"/>
      <c r="AY177" s="759"/>
      <c r="AZ177" s="752"/>
      <c r="BA177" s="752"/>
      <c r="BB177" s="752"/>
      <c r="BC177" s="752"/>
      <c r="BD177" s="752"/>
      <c r="BE177" s="752"/>
      <c r="BF177" s="752"/>
      <c r="CA177" s="753"/>
      <c r="CB177" s="753"/>
      <c r="CC177" s="753"/>
      <c r="CD177" s="753"/>
      <c r="CE177" s="428"/>
      <c r="CF177" s="428"/>
      <c r="CG177" s="428"/>
      <c r="CH177" s="428"/>
      <c r="CI177" s="428"/>
      <c r="CJ177" s="428"/>
      <c r="CK177" s="428"/>
      <c r="CL177" s="428"/>
      <c r="CM177" s="755"/>
      <c r="DG177" s="3">
        <f t="shared" si="111"/>
        <v>0</v>
      </c>
    </row>
    <row r="178" spans="2:111" ht="12.75">
      <c r="B178" s="60"/>
      <c r="C178" s="756"/>
      <c r="D178" s="757"/>
      <c r="E178" s="757"/>
      <c r="F178" s="757"/>
      <c r="G178" s="757"/>
      <c r="H178" s="757"/>
      <c r="I178" s="758"/>
      <c r="J178" s="752"/>
      <c r="K178" s="752"/>
      <c r="L178" s="752"/>
      <c r="M178" s="752"/>
      <c r="N178" s="752"/>
      <c r="O178" s="752"/>
      <c r="P178" s="752"/>
      <c r="AS178" s="31"/>
      <c r="AT178" s="32"/>
      <c r="AU178" s="32"/>
      <c r="AV178" s="32"/>
      <c r="AW178" s="32"/>
      <c r="AX178" s="32"/>
      <c r="AY178" s="759"/>
      <c r="AZ178" s="752"/>
      <c r="BA178" s="752"/>
      <c r="BB178" s="752"/>
      <c r="BC178" s="752"/>
      <c r="BD178" s="752"/>
      <c r="BE178" s="752"/>
      <c r="BF178" s="752"/>
      <c r="CA178" s="753"/>
      <c r="CB178" s="753"/>
      <c r="CC178" s="753"/>
      <c r="CD178" s="753"/>
      <c r="CE178" s="428"/>
      <c r="CF178" s="428"/>
      <c r="CG178" s="428"/>
      <c r="CH178" s="428"/>
      <c r="CI178" s="428"/>
      <c r="CJ178" s="428"/>
      <c r="CK178" s="428"/>
      <c r="CL178" s="428"/>
      <c r="CM178" s="755"/>
      <c r="DG178" s="3">
        <f t="shared" si="111"/>
        <v>0</v>
      </c>
    </row>
    <row r="179" spans="2:111" ht="12.75">
      <c r="B179" s="60"/>
      <c r="C179" s="756"/>
      <c r="D179" s="757"/>
      <c r="E179" s="757"/>
      <c r="F179" s="757"/>
      <c r="G179" s="757"/>
      <c r="H179" s="757"/>
      <c r="I179" s="758"/>
      <c r="J179" s="752"/>
      <c r="K179" s="752"/>
      <c r="L179" s="752"/>
      <c r="M179" s="752"/>
      <c r="N179" s="752"/>
      <c r="O179" s="752"/>
      <c r="P179" s="752"/>
      <c r="AS179" s="31"/>
      <c r="AT179" s="32"/>
      <c r="AU179" s="32"/>
      <c r="AV179" s="32"/>
      <c r="AW179" s="32"/>
      <c r="AX179" s="32"/>
      <c r="AY179" s="759"/>
      <c r="AZ179" s="752"/>
      <c r="BA179" s="752"/>
      <c r="BB179" s="752"/>
      <c r="BC179" s="752"/>
      <c r="BD179" s="752"/>
      <c r="BE179" s="752"/>
      <c r="BF179" s="752"/>
      <c r="CA179" s="753"/>
      <c r="CB179" s="753"/>
      <c r="CC179" s="753"/>
      <c r="CD179" s="753"/>
      <c r="CE179" s="428"/>
      <c r="CF179" s="428"/>
      <c r="CG179" s="428"/>
      <c r="CH179" s="428"/>
      <c r="CI179" s="428"/>
      <c r="CJ179" s="428"/>
      <c r="CK179" s="428"/>
      <c r="CL179" s="428"/>
      <c r="CM179" s="755"/>
      <c r="DG179" s="3">
        <f t="shared" si="111"/>
        <v>0</v>
      </c>
    </row>
    <row r="180" spans="2:111" ht="12.75">
      <c r="B180" s="60"/>
      <c r="C180" s="756"/>
      <c r="D180" s="757"/>
      <c r="E180" s="757"/>
      <c r="F180" s="757"/>
      <c r="G180" s="757"/>
      <c r="H180" s="757"/>
      <c r="I180" s="758"/>
      <c r="J180" s="752"/>
      <c r="K180" s="752"/>
      <c r="L180" s="752"/>
      <c r="M180" s="752"/>
      <c r="N180" s="752"/>
      <c r="O180" s="752"/>
      <c r="P180" s="752"/>
      <c r="AS180" s="31"/>
      <c r="AT180" s="32"/>
      <c r="AU180" s="32"/>
      <c r="AV180" s="32"/>
      <c r="AW180" s="32"/>
      <c r="AX180" s="32"/>
      <c r="AY180" s="759"/>
      <c r="AZ180" s="752"/>
      <c r="BA180" s="752"/>
      <c r="BB180" s="752"/>
      <c r="BC180" s="752"/>
      <c r="BD180" s="752"/>
      <c r="BE180" s="752"/>
      <c r="BF180" s="752"/>
      <c r="CA180" s="753"/>
      <c r="CB180" s="753"/>
      <c r="CC180" s="753"/>
      <c r="CD180" s="753"/>
      <c r="CE180" s="428"/>
      <c r="CF180" s="428"/>
      <c r="CG180" s="428"/>
      <c r="CH180" s="428"/>
      <c r="CI180" s="428"/>
      <c r="CJ180" s="428"/>
      <c r="CK180" s="428"/>
      <c r="CL180" s="428"/>
      <c r="CM180" s="755"/>
      <c r="DG180" s="3">
        <f t="shared" si="111"/>
        <v>0</v>
      </c>
    </row>
    <row r="181" spans="2:111" ht="12.75">
      <c r="B181" s="60"/>
      <c r="C181" s="756"/>
      <c r="D181" s="757"/>
      <c r="E181" s="757"/>
      <c r="F181" s="757"/>
      <c r="G181" s="757"/>
      <c r="H181" s="757"/>
      <c r="I181" s="758"/>
      <c r="J181" s="752"/>
      <c r="K181" s="752"/>
      <c r="L181" s="752"/>
      <c r="M181" s="752"/>
      <c r="N181" s="752"/>
      <c r="O181" s="752"/>
      <c r="P181" s="752"/>
      <c r="AS181" s="31"/>
      <c r="AT181" s="32"/>
      <c r="AU181" s="32"/>
      <c r="AV181" s="32"/>
      <c r="AW181" s="32"/>
      <c r="AX181" s="32"/>
      <c r="AY181" s="759"/>
      <c r="AZ181" s="752"/>
      <c r="BA181" s="752"/>
      <c r="BB181" s="752"/>
      <c r="BC181" s="752"/>
      <c r="BD181" s="752"/>
      <c r="BE181" s="752"/>
      <c r="BF181" s="752"/>
      <c r="CA181" s="753"/>
      <c r="CB181" s="753"/>
      <c r="CC181" s="753"/>
      <c r="CD181" s="753"/>
      <c r="CE181" s="428"/>
      <c r="CF181" s="428"/>
      <c r="CG181" s="428"/>
      <c r="CH181" s="428"/>
      <c r="CI181" s="428"/>
      <c r="CJ181" s="428"/>
      <c r="CK181" s="428"/>
      <c r="CL181" s="428"/>
      <c r="CM181" s="755"/>
      <c r="DG181" s="3">
        <f t="shared" si="111"/>
        <v>0</v>
      </c>
    </row>
    <row r="182" spans="2:111" ht="12.75">
      <c r="B182" s="60"/>
      <c r="C182" s="756"/>
      <c r="D182" s="757"/>
      <c r="E182" s="757"/>
      <c r="F182" s="757"/>
      <c r="G182" s="757"/>
      <c r="H182" s="757"/>
      <c r="I182" s="758"/>
      <c r="J182" s="752"/>
      <c r="K182" s="752"/>
      <c r="L182" s="752"/>
      <c r="M182" s="752"/>
      <c r="N182" s="752"/>
      <c r="O182" s="752"/>
      <c r="P182" s="752"/>
      <c r="AS182" s="31"/>
      <c r="AT182" s="32"/>
      <c r="AU182" s="32"/>
      <c r="AV182" s="32"/>
      <c r="AW182" s="32"/>
      <c r="AX182" s="32"/>
      <c r="AY182" s="759"/>
      <c r="AZ182" s="752"/>
      <c r="BA182" s="752"/>
      <c r="BB182" s="752"/>
      <c r="BC182" s="752"/>
      <c r="BD182" s="752"/>
      <c r="BE182" s="752"/>
      <c r="BF182" s="752"/>
      <c r="CA182" s="753"/>
      <c r="CB182" s="753"/>
      <c r="CC182" s="753"/>
      <c r="CD182" s="753"/>
      <c r="CE182" s="428"/>
      <c r="CF182" s="428"/>
      <c r="CG182" s="428"/>
      <c r="CH182" s="428"/>
      <c r="CI182" s="428"/>
      <c r="CJ182" s="428"/>
      <c r="CK182" s="428"/>
      <c r="CL182" s="428"/>
      <c r="CM182" s="755"/>
      <c r="DG182" s="3">
        <f t="shared" si="111"/>
        <v>0</v>
      </c>
    </row>
    <row r="183" spans="2:111" ht="12.75">
      <c r="B183" s="60"/>
      <c r="C183" s="756"/>
      <c r="D183" s="757"/>
      <c r="E183" s="757"/>
      <c r="F183" s="757"/>
      <c r="G183" s="757"/>
      <c r="H183" s="757"/>
      <c r="I183" s="758"/>
      <c r="J183" s="752"/>
      <c r="K183" s="752"/>
      <c r="L183" s="752"/>
      <c r="M183" s="752"/>
      <c r="N183" s="752"/>
      <c r="O183" s="752"/>
      <c r="P183" s="752"/>
      <c r="AS183" s="31"/>
      <c r="AT183" s="32"/>
      <c r="AU183" s="32"/>
      <c r="AV183" s="32"/>
      <c r="AW183" s="32"/>
      <c r="AX183" s="32"/>
      <c r="AY183" s="759"/>
      <c r="AZ183" s="752"/>
      <c r="BA183" s="752"/>
      <c r="BB183" s="752"/>
      <c r="BC183" s="752"/>
      <c r="BD183" s="752"/>
      <c r="BE183" s="752"/>
      <c r="BF183" s="752"/>
      <c r="CA183" s="753"/>
      <c r="CB183" s="753"/>
      <c r="CC183" s="753"/>
      <c r="CD183" s="753"/>
      <c r="CE183" s="428"/>
      <c r="CF183" s="428"/>
      <c r="CG183" s="428"/>
      <c r="CH183" s="428"/>
      <c r="CI183" s="428"/>
      <c r="CJ183" s="428"/>
      <c r="CK183" s="428"/>
      <c r="CL183" s="428"/>
      <c r="CM183" s="755"/>
      <c r="DG183" s="3">
        <f t="shared" si="111"/>
        <v>0</v>
      </c>
    </row>
    <row r="184" spans="2:111" ht="13.5" thickBot="1">
      <c r="B184" s="60"/>
      <c r="C184" s="1103"/>
      <c r="D184" s="1104"/>
      <c r="E184" s="1104"/>
      <c r="F184" s="1104"/>
      <c r="G184" s="1104"/>
      <c r="H184" s="1104"/>
      <c r="I184" s="1105"/>
      <c r="J184" s="752"/>
      <c r="K184" s="752"/>
      <c r="L184" s="752"/>
      <c r="M184" s="752"/>
      <c r="N184" s="752"/>
      <c r="O184" s="752"/>
      <c r="P184" s="752"/>
      <c r="AS184" s="1120"/>
      <c r="AT184" s="1121"/>
      <c r="AU184" s="1121"/>
      <c r="AV184" s="1121"/>
      <c r="AW184" s="1121"/>
      <c r="AX184" s="1121"/>
      <c r="AY184" s="1122"/>
      <c r="AZ184" s="752"/>
      <c r="BA184" s="752"/>
      <c r="BB184" s="752"/>
      <c r="BC184" s="752"/>
      <c r="BD184" s="752"/>
      <c r="BE184" s="752"/>
      <c r="BF184" s="752"/>
      <c r="CA184" s="753"/>
      <c r="CB184" s="753"/>
      <c r="CC184" s="753"/>
      <c r="CD184" s="753"/>
      <c r="CE184" s="428"/>
      <c r="CF184" s="428"/>
      <c r="CG184" s="428"/>
      <c r="CH184" s="428"/>
      <c r="CI184" s="428"/>
      <c r="CJ184" s="428"/>
      <c r="CK184" s="428"/>
      <c r="CL184" s="428"/>
      <c r="CM184" s="755"/>
      <c r="DG184" s="3">
        <f t="shared" si="111"/>
        <v>0</v>
      </c>
    </row>
    <row r="185" spans="2:111" ht="12.75">
      <c r="B185" s="60"/>
      <c r="C185" s="752"/>
      <c r="D185" s="752"/>
      <c r="E185" s="752"/>
      <c r="F185" s="752"/>
      <c r="G185" s="752"/>
      <c r="H185" s="752"/>
      <c r="I185" s="752"/>
      <c r="J185" s="752"/>
      <c r="K185" s="752"/>
      <c r="L185" s="752"/>
      <c r="M185" s="752"/>
      <c r="N185" s="752"/>
      <c r="O185" s="752"/>
      <c r="P185" s="752"/>
      <c r="AS185" s="1120"/>
      <c r="AT185" s="1121"/>
      <c r="AU185" s="1121"/>
      <c r="AV185" s="1121"/>
      <c r="AW185" s="1121"/>
      <c r="AX185" s="1121"/>
      <c r="AY185" s="1122"/>
      <c r="AZ185" s="752"/>
      <c r="BA185" s="752"/>
      <c r="BB185" s="752"/>
      <c r="BC185" s="752"/>
      <c r="BD185" s="752"/>
      <c r="BE185" s="752"/>
      <c r="BF185" s="752"/>
      <c r="CM185" s="760"/>
      <c r="DG185" s="3">
        <f t="shared" si="111"/>
        <v>0</v>
      </c>
    </row>
    <row r="186" spans="2:111" ht="12.75">
      <c r="B186" s="60"/>
      <c r="C186" s="752"/>
      <c r="D186" s="752"/>
      <c r="E186" s="752"/>
      <c r="F186" s="752"/>
      <c r="G186" s="752"/>
      <c r="H186" s="752"/>
      <c r="I186" s="752"/>
      <c r="J186" s="752"/>
      <c r="K186" s="752"/>
      <c r="L186" s="752"/>
      <c r="M186" s="752"/>
      <c r="N186" s="752"/>
      <c r="O186" s="752"/>
      <c r="P186" s="752"/>
      <c r="AS186" s="1120"/>
      <c r="AT186" s="1121"/>
      <c r="AU186" s="1121"/>
      <c r="AV186" s="1121"/>
      <c r="AW186" s="1121"/>
      <c r="AX186" s="1121"/>
      <c r="AY186" s="1122"/>
      <c r="AZ186" s="752"/>
      <c r="BA186" s="752"/>
      <c r="BB186" s="752"/>
      <c r="BC186" s="752"/>
      <c r="BD186" s="752"/>
      <c r="BE186" s="752"/>
      <c r="BF186" s="752"/>
      <c r="CM186" s="760"/>
      <c r="DG186" s="3">
        <f t="shared" si="111"/>
        <v>0</v>
      </c>
    </row>
    <row r="187" spans="2:111" ht="12.75">
      <c r="B187" s="60"/>
      <c r="C187" s="752"/>
      <c r="D187" s="752"/>
      <c r="E187" s="752"/>
      <c r="F187" s="752"/>
      <c r="G187" s="752"/>
      <c r="H187" s="752"/>
      <c r="I187" s="752"/>
      <c r="J187" s="752"/>
      <c r="K187" s="752"/>
      <c r="L187" s="752"/>
      <c r="M187" s="752"/>
      <c r="N187" s="752"/>
      <c r="O187" s="752"/>
      <c r="P187" s="752"/>
      <c r="AS187" s="1120"/>
      <c r="AT187" s="1121"/>
      <c r="AU187" s="1121"/>
      <c r="AV187" s="1121"/>
      <c r="AW187" s="1121"/>
      <c r="AX187" s="1121"/>
      <c r="AY187" s="1122"/>
      <c r="AZ187" s="752"/>
      <c r="BA187" s="752"/>
      <c r="BB187" s="752"/>
      <c r="BC187" s="752"/>
      <c r="BD187" s="752"/>
      <c r="BE187" s="752"/>
      <c r="BF187" s="752"/>
      <c r="CM187" s="760"/>
      <c r="DG187" s="3" t="str">
        <f>IF(SUM(T2_Notes_Check)&gt;0,"YES","NO")</f>
        <v>YES</v>
      </c>
    </row>
    <row r="188" spans="2:91" ht="13.5" thickBot="1">
      <c r="B188" s="60"/>
      <c r="C188" s="752"/>
      <c r="D188" s="752"/>
      <c r="E188" s="752"/>
      <c r="F188" s="752"/>
      <c r="G188" s="752"/>
      <c r="H188" s="752"/>
      <c r="I188" s="752"/>
      <c r="J188" s="752"/>
      <c r="K188" s="752"/>
      <c r="L188" s="752"/>
      <c r="M188" s="752"/>
      <c r="N188" s="752"/>
      <c r="O188" s="752"/>
      <c r="P188" s="752"/>
      <c r="AS188" s="1123"/>
      <c r="AT188" s="1124"/>
      <c r="AU188" s="1124"/>
      <c r="AV188" s="1124"/>
      <c r="AW188" s="1124"/>
      <c r="AX188" s="1124"/>
      <c r="AY188" s="1125"/>
      <c r="AZ188" s="752"/>
      <c r="BA188" s="752"/>
      <c r="BB188" s="752"/>
      <c r="BC188" s="752"/>
      <c r="BD188" s="752"/>
      <c r="BE188" s="752"/>
      <c r="BF188" s="752"/>
      <c r="CM188" s="760"/>
    </row>
    <row r="189" spans="2:91" ht="12.75">
      <c r="B189" s="60"/>
      <c r="C189" s="752"/>
      <c r="D189" s="752"/>
      <c r="E189" s="752"/>
      <c r="F189" s="752"/>
      <c r="G189" s="752"/>
      <c r="H189" s="752"/>
      <c r="I189" s="752"/>
      <c r="J189" s="752"/>
      <c r="K189" s="752"/>
      <c r="L189" s="752"/>
      <c r="M189" s="752"/>
      <c r="N189" s="752"/>
      <c r="O189" s="752"/>
      <c r="P189" s="752"/>
      <c r="AS189" s="752"/>
      <c r="AT189" s="752"/>
      <c r="AU189" s="752"/>
      <c r="AV189" s="752"/>
      <c r="AW189" s="752"/>
      <c r="AX189" s="752"/>
      <c r="AY189" s="752"/>
      <c r="AZ189" s="752"/>
      <c r="BA189" s="752"/>
      <c r="BB189" s="752"/>
      <c r="BC189" s="752"/>
      <c r="BD189" s="752"/>
      <c r="BE189" s="752"/>
      <c r="BF189" s="752"/>
      <c r="CM189" s="760"/>
    </row>
    <row r="190" spans="2:91" ht="12.75">
      <c r="B190" s="60"/>
      <c r="C190" s="752"/>
      <c r="D190" s="752"/>
      <c r="E190" s="752"/>
      <c r="F190" s="752"/>
      <c r="G190" s="752"/>
      <c r="H190" s="752"/>
      <c r="I190" s="752"/>
      <c r="J190" s="752"/>
      <c r="K190" s="752"/>
      <c r="L190" s="752"/>
      <c r="M190" s="752"/>
      <c r="N190" s="752"/>
      <c r="O190" s="752"/>
      <c r="P190" s="752"/>
      <c r="AS190" s="752"/>
      <c r="AT190" s="752"/>
      <c r="AU190" s="752"/>
      <c r="AV190" s="752"/>
      <c r="AW190" s="752"/>
      <c r="AX190" s="752"/>
      <c r="AY190" s="752"/>
      <c r="AZ190" s="752"/>
      <c r="BA190" s="752"/>
      <c r="BB190" s="752"/>
      <c r="BC190" s="752"/>
      <c r="BD190" s="752"/>
      <c r="BE190" s="752"/>
      <c r="BF190" s="752"/>
      <c r="CM190" s="760"/>
    </row>
    <row r="191" spans="2:91" ht="12.75">
      <c r="B191" s="60"/>
      <c r="C191" s="752"/>
      <c r="D191" s="752"/>
      <c r="E191" s="752"/>
      <c r="F191" s="752"/>
      <c r="G191" s="752"/>
      <c r="H191" s="752"/>
      <c r="I191" s="752"/>
      <c r="J191" s="752"/>
      <c r="K191" s="752"/>
      <c r="L191" s="752"/>
      <c r="M191" s="752"/>
      <c r="N191" s="752"/>
      <c r="O191" s="752"/>
      <c r="P191" s="752"/>
      <c r="AS191" s="752"/>
      <c r="AT191" s="752"/>
      <c r="AU191" s="752"/>
      <c r="AV191" s="752"/>
      <c r="AW191" s="752"/>
      <c r="AX191" s="752"/>
      <c r="AY191" s="752"/>
      <c r="AZ191" s="752"/>
      <c r="BA191" s="752"/>
      <c r="BB191" s="752"/>
      <c r="BC191" s="752"/>
      <c r="BD191" s="752"/>
      <c r="BE191" s="752"/>
      <c r="BF191" s="752"/>
      <c r="CM191" s="760"/>
    </row>
    <row r="192" spans="2:91" ht="12.75">
      <c r="B192" s="60"/>
      <c r="C192" s="752"/>
      <c r="D192" s="752"/>
      <c r="E192" s="752"/>
      <c r="F192" s="752"/>
      <c r="G192" s="752"/>
      <c r="H192" s="752"/>
      <c r="I192" s="752"/>
      <c r="J192" s="752"/>
      <c r="K192" s="752"/>
      <c r="L192" s="752"/>
      <c r="M192" s="752"/>
      <c r="N192" s="752"/>
      <c r="O192" s="752"/>
      <c r="P192" s="752"/>
      <c r="AS192" s="1034"/>
      <c r="AT192" s="1034"/>
      <c r="AU192" s="1034"/>
      <c r="AV192" s="1034"/>
      <c r="AW192" s="1034"/>
      <c r="AX192" s="1034"/>
      <c r="AY192" s="1034"/>
      <c r="AZ192" s="1034"/>
      <c r="BA192" s="1034"/>
      <c r="BB192" s="1034"/>
      <c r="BC192" s="752"/>
      <c r="BD192" s="752"/>
      <c r="BE192" s="752"/>
      <c r="BF192" s="752"/>
      <c r="CM192" s="760"/>
    </row>
    <row r="193" spans="2:91" ht="12.75">
      <c r="B193" s="60"/>
      <c r="C193" s="752"/>
      <c r="D193" s="752"/>
      <c r="E193" s="752"/>
      <c r="F193" s="752"/>
      <c r="G193" s="752"/>
      <c r="H193" s="752"/>
      <c r="I193" s="752"/>
      <c r="J193" s="752"/>
      <c r="K193" s="752"/>
      <c r="L193" s="752"/>
      <c r="M193" s="752"/>
      <c r="N193" s="752"/>
      <c r="O193" s="752"/>
      <c r="P193" s="752"/>
      <c r="AS193" s="1034"/>
      <c r="AT193" s="1034"/>
      <c r="AU193" s="1034"/>
      <c r="AV193" s="1034"/>
      <c r="AW193" s="1034"/>
      <c r="AX193" s="1034"/>
      <c r="AY193" s="1034"/>
      <c r="AZ193" s="1034"/>
      <c r="BA193" s="1034"/>
      <c r="BB193" s="1034"/>
      <c r="BC193" s="752"/>
      <c r="BD193" s="752"/>
      <c r="BE193" s="752"/>
      <c r="BF193" s="752"/>
      <c r="CM193" s="760"/>
    </row>
    <row r="194" spans="2:91" ht="12.75">
      <c r="B194" s="60"/>
      <c r="C194" s="752"/>
      <c r="D194" s="752"/>
      <c r="E194" s="752"/>
      <c r="F194" s="752"/>
      <c r="G194" s="752"/>
      <c r="H194" s="752"/>
      <c r="I194" s="752"/>
      <c r="J194" s="752"/>
      <c r="K194" s="752"/>
      <c r="L194" s="752"/>
      <c r="M194" s="752"/>
      <c r="N194" s="752"/>
      <c r="O194" s="752"/>
      <c r="P194" s="752"/>
      <c r="AS194" s="1034"/>
      <c r="AT194" s="1034"/>
      <c r="AU194" s="1034"/>
      <c r="AV194" s="1034"/>
      <c r="AW194" s="1034"/>
      <c r="AX194" s="1034"/>
      <c r="AY194" s="1034"/>
      <c r="AZ194" s="1034"/>
      <c r="BA194" s="1034"/>
      <c r="BB194" s="1034"/>
      <c r="BC194" s="752"/>
      <c r="BD194" s="752"/>
      <c r="BE194" s="752"/>
      <c r="BF194" s="752"/>
      <c r="CM194" s="760"/>
    </row>
    <row r="195" spans="2:91" ht="12.75">
      <c r="B195" s="60"/>
      <c r="C195" s="752"/>
      <c r="D195" s="752"/>
      <c r="E195" s="752"/>
      <c r="F195" s="752"/>
      <c r="G195" s="752"/>
      <c r="H195" s="752"/>
      <c r="I195" s="752"/>
      <c r="J195" s="752"/>
      <c r="K195" s="752"/>
      <c r="L195" s="752"/>
      <c r="M195" s="752"/>
      <c r="N195" s="752"/>
      <c r="O195" s="752"/>
      <c r="P195" s="752"/>
      <c r="AS195" s="1034"/>
      <c r="AT195" s="1034"/>
      <c r="AU195" s="1034"/>
      <c r="AV195" s="1034"/>
      <c r="AW195" s="1034"/>
      <c r="AX195" s="1034"/>
      <c r="AY195" s="1034"/>
      <c r="AZ195" s="1034"/>
      <c r="BA195" s="1034"/>
      <c r="BB195" s="1034"/>
      <c r="BC195" s="752"/>
      <c r="BD195" s="752"/>
      <c r="BE195" s="752"/>
      <c r="BF195" s="752"/>
      <c r="CM195" s="760"/>
    </row>
    <row r="196" spans="2:91" ht="12.75">
      <c r="B196" s="60"/>
      <c r="C196" s="752"/>
      <c r="D196" s="752"/>
      <c r="E196" s="752"/>
      <c r="F196" s="752"/>
      <c r="G196" s="752"/>
      <c r="H196" s="752"/>
      <c r="I196" s="752"/>
      <c r="J196" s="752"/>
      <c r="K196" s="752"/>
      <c r="L196" s="752"/>
      <c r="M196" s="752"/>
      <c r="N196" s="752"/>
      <c r="O196" s="752"/>
      <c r="P196" s="752"/>
      <c r="AS196" s="1034"/>
      <c r="AT196" s="1034"/>
      <c r="AU196" s="1034"/>
      <c r="AV196" s="1034"/>
      <c r="AW196" s="1034"/>
      <c r="AX196" s="1034"/>
      <c r="AY196" s="1034"/>
      <c r="AZ196" s="1034"/>
      <c r="BA196" s="1034"/>
      <c r="BB196" s="1034"/>
      <c r="BC196" s="752"/>
      <c r="BD196" s="752"/>
      <c r="BE196" s="752"/>
      <c r="BF196" s="752"/>
      <c r="CM196" s="760"/>
    </row>
    <row r="197" spans="2:91" ht="12.75">
      <c r="B197" s="60"/>
      <c r="C197" s="752"/>
      <c r="D197" s="752"/>
      <c r="E197" s="752"/>
      <c r="F197" s="752"/>
      <c r="G197" s="752"/>
      <c r="H197" s="752"/>
      <c r="I197" s="752"/>
      <c r="J197" s="752"/>
      <c r="K197" s="752"/>
      <c r="L197" s="752"/>
      <c r="M197" s="752"/>
      <c r="N197" s="752"/>
      <c r="O197" s="752"/>
      <c r="P197" s="752"/>
      <c r="AS197" s="1034"/>
      <c r="AT197" s="1034"/>
      <c r="AU197" s="1034"/>
      <c r="AV197" s="1034"/>
      <c r="AW197" s="1034"/>
      <c r="AX197" s="1034"/>
      <c r="AY197" s="1034"/>
      <c r="AZ197" s="1034"/>
      <c r="BA197" s="1034"/>
      <c r="BB197" s="1034"/>
      <c r="BC197" s="752"/>
      <c r="BD197" s="752"/>
      <c r="BE197" s="752"/>
      <c r="BF197" s="752"/>
      <c r="CM197" s="760"/>
    </row>
    <row r="198" spans="2:91" ht="12.75">
      <c r="B198" s="60"/>
      <c r="C198" s="752"/>
      <c r="D198" s="752"/>
      <c r="E198" s="752"/>
      <c r="F198" s="752"/>
      <c r="G198" s="752"/>
      <c r="H198" s="752"/>
      <c r="I198" s="752"/>
      <c r="J198" s="752"/>
      <c r="K198" s="752"/>
      <c r="L198" s="752"/>
      <c r="M198" s="752"/>
      <c r="N198" s="752"/>
      <c r="O198" s="752"/>
      <c r="P198" s="752"/>
      <c r="AS198" s="1034"/>
      <c r="AT198" s="1034"/>
      <c r="AU198" s="1034"/>
      <c r="AV198" s="1034"/>
      <c r="AW198" s="1034"/>
      <c r="AX198" s="1034"/>
      <c r="AY198" s="1034"/>
      <c r="AZ198" s="1034"/>
      <c r="BA198" s="1034"/>
      <c r="BB198" s="1034"/>
      <c r="BC198" s="752"/>
      <c r="BD198" s="752"/>
      <c r="BE198" s="752"/>
      <c r="BF198" s="752"/>
      <c r="CM198" s="760"/>
    </row>
    <row r="199" spans="2:91" ht="12.75">
      <c r="B199" s="60"/>
      <c r="C199" s="752"/>
      <c r="D199" s="752"/>
      <c r="E199" s="752"/>
      <c r="F199" s="752"/>
      <c r="G199" s="752"/>
      <c r="H199" s="752"/>
      <c r="I199" s="752"/>
      <c r="J199" s="752"/>
      <c r="K199" s="752"/>
      <c r="L199" s="752"/>
      <c r="M199" s="752"/>
      <c r="N199" s="752"/>
      <c r="O199" s="752"/>
      <c r="P199" s="752"/>
      <c r="AS199" s="1034"/>
      <c r="AT199" s="1034"/>
      <c r="AU199" s="1034"/>
      <c r="AV199" s="1034"/>
      <c r="AW199" s="1034"/>
      <c r="AX199" s="1034"/>
      <c r="AY199" s="1034"/>
      <c r="AZ199" s="1034"/>
      <c r="BA199" s="1034"/>
      <c r="BB199" s="1034"/>
      <c r="BC199" s="752"/>
      <c r="BD199" s="752"/>
      <c r="BE199" s="752"/>
      <c r="BF199" s="752"/>
      <c r="CM199" s="760"/>
    </row>
    <row r="200" spans="2:91" ht="12.75">
      <c r="B200" s="60"/>
      <c r="C200" s="752"/>
      <c r="D200" s="752"/>
      <c r="E200" s="752"/>
      <c r="F200" s="752"/>
      <c r="G200" s="752"/>
      <c r="H200" s="752"/>
      <c r="I200" s="752"/>
      <c r="J200" s="752"/>
      <c r="K200" s="752"/>
      <c r="L200" s="752"/>
      <c r="M200" s="752"/>
      <c r="N200" s="752"/>
      <c r="O200" s="752"/>
      <c r="P200" s="752"/>
      <c r="AS200" s="1034"/>
      <c r="AT200" s="1034"/>
      <c r="AU200" s="1034"/>
      <c r="AV200" s="1034"/>
      <c r="AW200" s="1034"/>
      <c r="AX200" s="1034"/>
      <c r="AY200" s="1034"/>
      <c r="AZ200" s="1034"/>
      <c r="BA200" s="1034"/>
      <c r="BB200" s="1034"/>
      <c r="BC200" s="752"/>
      <c r="BD200" s="752"/>
      <c r="BE200" s="752"/>
      <c r="BF200" s="752"/>
      <c r="CM200" s="760"/>
    </row>
    <row r="201" spans="2:91" ht="12.75">
      <c r="B201" s="60"/>
      <c r="C201" s="752"/>
      <c r="D201" s="752"/>
      <c r="E201" s="752"/>
      <c r="F201" s="752"/>
      <c r="G201" s="752"/>
      <c r="H201" s="752"/>
      <c r="I201" s="752"/>
      <c r="J201" s="752"/>
      <c r="K201" s="752"/>
      <c r="L201" s="752"/>
      <c r="M201" s="752"/>
      <c r="N201" s="752"/>
      <c r="O201" s="752"/>
      <c r="P201" s="752"/>
      <c r="AS201" s="1034"/>
      <c r="AT201" s="1034"/>
      <c r="AU201" s="1034"/>
      <c r="AV201" s="1034"/>
      <c r="AW201" s="1034"/>
      <c r="AX201" s="1034"/>
      <c r="AY201" s="1034"/>
      <c r="AZ201" s="1034"/>
      <c r="BA201" s="1034"/>
      <c r="BB201" s="1034"/>
      <c r="BC201" s="752"/>
      <c r="BD201" s="752"/>
      <c r="BE201" s="752"/>
      <c r="BF201" s="752"/>
      <c r="CM201" s="760"/>
    </row>
    <row r="202" spans="2:91" ht="12.75">
      <c r="B202" s="60"/>
      <c r="C202" s="752"/>
      <c r="D202" s="752"/>
      <c r="E202" s="752"/>
      <c r="F202" s="752"/>
      <c r="G202" s="752"/>
      <c r="H202" s="752"/>
      <c r="I202" s="752"/>
      <c r="J202" s="752"/>
      <c r="K202" s="752"/>
      <c r="L202" s="752"/>
      <c r="M202" s="752"/>
      <c r="N202" s="752"/>
      <c r="O202" s="752"/>
      <c r="P202" s="752"/>
      <c r="AS202" s="1034"/>
      <c r="AT202" s="1034"/>
      <c r="AU202" s="1034"/>
      <c r="AV202" s="1034"/>
      <c r="AW202" s="1034"/>
      <c r="AX202" s="1034"/>
      <c r="AY202" s="1034"/>
      <c r="AZ202" s="1034"/>
      <c r="BA202" s="1034"/>
      <c r="BB202" s="1034"/>
      <c r="BC202" s="752"/>
      <c r="BD202" s="752"/>
      <c r="BE202" s="752"/>
      <c r="BF202" s="752"/>
      <c r="CM202" s="760"/>
    </row>
    <row r="203" spans="2:91" ht="12.75">
      <c r="B203" s="60"/>
      <c r="C203" s="752"/>
      <c r="D203" s="752"/>
      <c r="E203" s="752"/>
      <c r="F203" s="752"/>
      <c r="G203" s="752"/>
      <c r="H203" s="752"/>
      <c r="I203" s="752"/>
      <c r="J203" s="752"/>
      <c r="K203" s="752"/>
      <c r="L203" s="752"/>
      <c r="M203" s="752"/>
      <c r="N203" s="752"/>
      <c r="O203" s="752"/>
      <c r="P203" s="752"/>
      <c r="AS203" s="1034"/>
      <c r="AT203" s="1034"/>
      <c r="AU203" s="1034"/>
      <c r="AV203" s="1034"/>
      <c r="AW203" s="1034"/>
      <c r="AX203" s="1034"/>
      <c r="AY203" s="1034"/>
      <c r="AZ203" s="1034"/>
      <c r="BA203" s="1034"/>
      <c r="BB203" s="1034"/>
      <c r="BC203" s="752"/>
      <c r="BD203" s="752"/>
      <c r="BE203" s="752"/>
      <c r="BF203" s="752"/>
      <c r="CM203" s="760"/>
    </row>
    <row r="204" spans="2:91" ht="12.75">
      <c r="B204" s="60"/>
      <c r="C204" s="752"/>
      <c r="D204" s="752"/>
      <c r="E204" s="752"/>
      <c r="F204" s="752"/>
      <c r="G204" s="752"/>
      <c r="H204" s="752"/>
      <c r="I204" s="752"/>
      <c r="J204" s="752"/>
      <c r="K204" s="752"/>
      <c r="L204" s="752"/>
      <c r="M204" s="752"/>
      <c r="N204" s="752"/>
      <c r="O204" s="752"/>
      <c r="P204" s="752"/>
      <c r="AS204" s="1034"/>
      <c r="AT204" s="1034"/>
      <c r="AU204" s="1034"/>
      <c r="AV204" s="1034"/>
      <c r="AW204" s="1034"/>
      <c r="AX204" s="1034"/>
      <c r="AY204" s="1034"/>
      <c r="AZ204" s="1034"/>
      <c r="BA204" s="1034"/>
      <c r="BB204" s="1034"/>
      <c r="BC204" s="752"/>
      <c r="BD204" s="752"/>
      <c r="BE204" s="752"/>
      <c r="BF204" s="752"/>
      <c r="CM204" s="760"/>
    </row>
    <row r="205" spans="2:91" ht="12.75">
      <c r="B205" s="60"/>
      <c r="C205" s="752"/>
      <c r="D205" s="752"/>
      <c r="E205" s="752"/>
      <c r="F205" s="752"/>
      <c r="G205" s="752"/>
      <c r="H205" s="752"/>
      <c r="I205" s="752"/>
      <c r="J205" s="752"/>
      <c r="K205" s="752"/>
      <c r="L205" s="752"/>
      <c r="M205" s="752"/>
      <c r="N205" s="752"/>
      <c r="O205" s="752"/>
      <c r="P205" s="752"/>
      <c r="AS205" s="1034"/>
      <c r="AT205" s="1034"/>
      <c r="AU205" s="1034"/>
      <c r="AV205" s="1034"/>
      <c r="AW205" s="1034"/>
      <c r="AX205" s="1034"/>
      <c r="AY205" s="1034"/>
      <c r="AZ205" s="1034"/>
      <c r="BA205" s="1034"/>
      <c r="BB205" s="1034"/>
      <c r="BC205" s="752"/>
      <c r="BD205" s="752"/>
      <c r="BE205" s="752"/>
      <c r="BF205" s="752"/>
      <c r="CM205" s="760"/>
    </row>
    <row r="206" spans="2:91" ht="12.75">
      <c r="B206" s="60"/>
      <c r="C206" s="752"/>
      <c r="D206" s="752"/>
      <c r="E206" s="752"/>
      <c r="F206" s="752"/>
      <c r="G206" s="752"/>
      <c r="H206" s="752"/>
      <c r="I206" s="752"/>
      <c r="J206" s="752"/>
      <c r="K206" s="752"/>
      <c r="L206" s="752"/>
      <c r="M206" s="752"/>
      <c r="N206" s="752"/>
      <c r="O206" s="752"/>
      <c r="P206" s="752"/>
      <c r="AS206" s="1034"/>
      <c r="AT206" s="1034"/>
      <c r="AU206" s="1034"/>
      <c r="AV206" s="1034"/>
      <c r="AW206" s="1034"/>
      <c r="AX206" s="1034"/>
      <c r="AY206" s="1034"/>
      <c r="AZ206" s="1034"/>
      <c r="BA206" s="1034"/>
      <c r="BB206" s="1034"/>
      <c r="BC206" s="752"/>
      <c r="BD206" s="752"/>
      <c r="BE206" s="752"/>
      <c r="BF206" s="752"/>
      <c r="CM206" s="760"/>
    </row>
    <row r="207" spans="2:91" ht="12.75">
      <c r="B207" s="60"/>
      <c r="C207" s="752"/>
      <c r="D207" s="752"/>
      <c r="E207" s="752"/>
      <c r="F207" s="752"/>
      <c r="G207" s="752"/>
      <c r="H207" s="752"/>
      <c r="I207" s="752"/>
      <c r="J207" s="752"/>
      <c r="K207" s="752"/>
      <c r="L207" s="752"/>
      <c r="M207" s="752"/>
      <c r="N207" s="752"/>
      <c r="O207" s="752"/>
      <c r="P207" s="752"/>
      <c r="AS207" s="1034"/>
      <c r="AT207" s="1034"/>
      <c r="AU207" s="1034"/>
      <c r="AV207" s="1034"/>
      <c r="AW207" s="1034"/>
      <c r="AX207" s="1034"/>
      <c r="AY207" s="1034"/>
      <c r="AZ207" s="1034"/>
      <c r="BA207" s="1034"/>
      <c r="BB207" s="1034"/>
      <c r="BC207" s="752"/>
      <c r="BD207" s="752"/>
      <c r="BE207" s="752"/>
      <c r="BF207" s="752"/>
      <c r="CE207" s="52"/>
      <c r="CF207" s="52"/>
      <c r="CG207" s="52"/>
      <c r="CH207" s="52"/>
      <c r="CI207" s="52"/>
      <c r="CJ207" s="52"/>
      <c r="CK207" s="52"/>
      <c r="CL207" s="52"/>
      <c r="CM207" s="760"/>
    </row>
    <row r="208" spans="2:91" ht="12.75">
      <c r="B208" s="60"/>
      <c r="C208" s="752"/>
      <c r="D208" s="752"/>
      <c r="E208" s="752"/>
      <c r="F208" s="752"/>
      <c r="G208" s="752"/>
      <c r="H208" s="752"/>
      <c r="I208" s="752"/>
      <c r="J208" s="752"/>
      <c r="K208" s="752"/>
      <c r="L208" s="752"/>
      <c r="M208" s="752"/>
      <c r="N208" s="752"/>
      <c r="O208" s="752"/>
      <c r="P208" s="752"/>
      <c r="AS208" s="1034"/>
      <c r="AT208" s="1034"/>
      <c r="AU208" s="1034"/>
      <c r="AV208" s="1034"/>
      <c r="AW208" s="1034"/>
      <c r="AX208" s="1034"/>
      <c r="AY208" s="1034"/>
      <c r="AZ208" s="1034"/>
      <c r="BA208" s="1034"/>
      <c r="BB208" s="1034"/>
      <c r="BC208" s="752"/>
      <c r="BD208" s="752"/>
      <c r="BE208" s="752"/>
      <c r="BF208" s="752"/>
      <c r="CE208" s="52"/>
      <c r="CF208" s="52"/>
      <c r="CG208" s="52"/>
      <c r="CH208" s="52"/>
      <c r="CI208" s="52"/>
      <c r="CJ208" s="52"/>
      <c r="CK208" s="52"/>
      <c r="CL208" s="52"/>
      <c r="CM208" s="760"/>
    </row>
    <row r="209" spans="2:91" ht="12.75">
      <c r="B209" s="60"/>
      <c r="C209" s="752"/>
      <c r="D209" s="752"/>
      <c r="E209" s="752"/>
      <c r="F209" s="752"/>
      <c r="G209" s="752"/>
      <c r="H209" s="752"/>
      <c r="I209" s="752"/>
      <c r="J209" s="752"/>
      <c r="K209" s="752"/>
      <c r="L209" s="752"/>
      <c r="M209" s="752"/>
      <c r="N209" s="752"/>
      <c r="O209" s="752"/>
      <c r="P209" s="752"/>
      <c r="AS209" s="1034"/>
      <c r="AT209" s="1034"/>
      <c r="AU209" s="1034"/>
      <c r="AV209" s="1034"/>
      <c r="AW209" s="1034"/>
      <c r="AX209" s="1034"/>
      <c r="AY209" s="1034"/>
      <c r="AZ209" s="1034"/>
      <c r="BA209" s="1034"/>
      <c r="BB209" s="1034"/>
      <c r="BC209" s="752"/>
      <c r="BD209" s="752"/>
      <c r="BE209" s="752"/>
      <c r="BF209" s="752"/>
      <c r="CE209" s="52"/>
      <c r="CF209" s="52"/>
      <c r="CG209" s="52"/>
      <c r="CH209" s="52"/>
      <c r="CI209" s="52"/>
      <c r="CJ209" s="52"/>
      <c r="CK209" s="52"/>
      <c r="CL209" s="52"/>
      <c r="CM209" s="760"/>
    </row>
    <row r="210" spans="2:91" ht="12.75">
      <c r="B210" s="60"/>
      <c r="C210" s="752"/>
      <c r="D210" s="752"/>
      <c r="E210" s="752"/>
      <c r="F210" s="752"/>
      <c r="G210" s="752"/>
      <c r="H210" s="752"/>
      <c r="I210" s="752"/>
      <c r="J210" s="752"/>
      <c r="K210" s="752"/>
      <c r="L210" s="752"/>
      <c r="M210" s="752"/>
      <c r="N210" s="752"/>
      <c r="O210" s="752"/>
      <c r="P210" s="752"/>
      <c r="AS210" s="1034"/>
      <c r="AT210" s="1034"/>
      <c r="AU210" s="1034"/>
      <c r="AV210" s="1034"/>
      <c r="AW210" s="1034"/>
      <c r="AX210" s="1034"/>
      <c r="AY210" s="1034"/>
      <c r="AZ210" s="1034"/>
      <c r="BA210" s="1034"/>
      <c r="BB210" s="1034"/>
      <c r="BC210" s="752"/>
      <c r="BD210" s="752"/>
      <c r="BE210" s="752"/>
      <c r="BF210" s="752"/>
      <c r="CE210" s="52"/>
      <c r="CF210" s="52"/>
      <c r="CG210" s="52"/>
      <c r="CH210" s="52"/>
      <c r="CI210" s="52"/>
      <c r="CJ210" s="52"/>
      <c r="CK210" s="52"/>
      <c r="CL210" s="52"/>
      <c r="CM210" s="760"/>
    </row>
    <row r="211" spans="2:91" ht="12.75">
      <c r="B211" s="60"/>
      <c r="C211" s="752"/>
      <c r="D211" s="752"/>
      <c r="E211" s="752"/>
      <c r="F211" s="752"/>
      <c r="G211" s="752"/>
      <c r="H211" s="752"/>
      <c r="I211" s="752"/>
      <c r="J211" s="752"/>
      <c r="K211" s="752"/>
      <c r="L211" s="752"/>
      <c r="M211" s="752"/>
      <c r="N211" s="752"/>
      <c r="O211" s="752"/>
      <c r="P211" s="752"/>
      <c r="AS211" s="1034"/>
      <c r="AT211" s="1034"/>
      <c r="AU211" s="1034"/>
      <c r="AV211" s="1034"/>
      <c r="AW211" s="1034"/>
      <c r="AX211" s="1034"/>
      <c r="AY211" s="1034"/>
      <c r="AZ211" s="1034"/>
      <c r="BA211" s="1034"/>
      <c r="BB211" s="1034"/>
      <c r="BC211" s="752"/>
      <c r="BD211" s="752"/>
      <c r="BE211" s="752"/>
      <c r="BF211" s="752"/>
      <c r="CE211" s="52"/>
      <c r="CF211" s="52"/>
      <c r="CG211" s="52"/>
      <c r="CH211" s="52"/>
      <c r="CI211" s="52"/>
      <c r="CJ211" s="52"/>
      <c r="CK211" s="52"/>
      <c r="CL211" s="52"/>
      <c r="CM211" s="760"/>
    </row>
    <row r="212" spans="2:91" ht="12.75">
      <c r="B212" s="60"/>
      <c r="C212" s="752"/>
      <c r="D212" s="752"/>
      <c r="E212" s="752"/>
      <c r="F212" s="752"/>
      <c r="G212" s="752"/>
      <c r="H212" s="752"/>
      <c r="I212" s="752"/>
      <c r="J212" s="752"/>
      <c r="K212" s="752"/>
      <c r="L212" s="752"/>
      <c r="M212" s="752"/>
      <c r="N212" s="752"/>
      <c r="O212" s="752"/>
      <c r="P212" s="752"/>
      <c r="AS212" s="1034"/>
      <c r="AT212" s="1034"/>
      <c r="AU212" s="1034"/>
      <c r="AV212" s="1034"/>
      <c r="AW212" s="1034"/>
      <c r="AX212" s="1034"/>
      <c r="AY212" s="1034"/>
      <c r="AZ212" s="1034"/>
      <c r="BA212" s="1034"/>
      <c r="BB212" s="1034"/>
      <c r="BC212" s="752"/>
      <c r="BD212" s="752"/>
      <c r="BE212" s="752"/>
      <c r="BF212" s="752"/>
      <c r="CE212" s="52"/>
      <c r="CF212" s="52"/>
      <c r="CG212" s="52"/>
      <c r="CH212" s="52"/>
      <c r="CI212" s="52"/>
      <c r="CJ212" s="52"/>
      <c r="CK212" s="52"/>
      <c r="CL212" s="52"/>
      <c r="CM212" s="760"/>
    </row>
    <row r="213" spans="2:91" ht="13.5" thickBot="1">
      <c r="B213" s="60"/>
      <c r="C213" s="752"/>
      <c r="D213" s="752"/>
      <c r="E213" s="752"/>
      <c r="F213" s="752"/>
      <c r="G213" s="752"/>
      <c r="H213" s="752"/>
      <c r="I213" s="752"/>
      <c r="J213" s="752"/>
      <c r="K213" s="752"/>
      <c r="L213" s="752"/>
      <c r="M213" s="752"/>
      <c r="N213" s="752"/>
      <c r="O213" s="752"/>
      <c r="P213" s="752"/>
      <c r="AS213" s="1034"/>
      <c r="AT213" s="1034"/>
      <c r="AU213" s="1034"/>
      <c r="AV213" s="1034"/>
      <c r="AW213" s="1034"/>
      <c r="AX213" s="1034"/>
      <c r="AY213" s="1034"/>
      <c r="AZ213" s="1034"/>
      <c r="BA213" s="1034"/>
      <c r="BB213" s="1034"/>
      <c r="BC213" s="752"/>
      <c r="BD213" s="752"/>
      <c r="BE213" s="752"/>
      <c r="BF213" s="752"/>
      <c r="CE213" s="750"/>
      <c r="CF213" s="750"/>
      <c r="CG213" s="750"/>
      <c r="CH213" s="750"/>
      <c r="CI213" s="750"/>
      <c r="CJ213" s="750"/>
      <c r="CK213" s="750"/>
      <c r="CL213" s="750"/>
      <c r="CM213" s="751"/>
    </row>
    <row r="214" spans="3:54" ht="12.75">
      <c r="C214" s="52"/>
      <c r="D214" s="52"/>
      <c r="E214" s="52"/>
      <c r="F214" s="52"/>
      <c r="G214" s="52"/>
      <c r="H214" s="52"/>
      <c r="I214" s="52"/>
      <c r="J214" s="52"/>
      <c r="K214" s="52"/>
      <c r="L214" s="52"/>
      <c r="M214" s="52"/>
      <c r="AS214" s="52"/>
      <c r="AT214" s="52"/>
      <c r="AU214" s="52"/>
      <c r="AV214" s="52"/>
      <c r="AW214" s="52"/>
      <c r="AX214" s="52"/>
      <c r="AY214" s="52"/>
      <c r="AZ214" s="52"/>
      <c r="BA214" s="52"/>
      <c r="BB214" s="52"/>
    </row>
    <row r="215" spans="3:54" ht="12.75">
      <c r="C215" s="52"/>
      <c r="D215" s="52"/>
      <c r="E215" s="52"/>
      <c r="F215" s="52"/>
      <c r="G215" s="52"/>
      <c r="H215" s="52"/>
      <c r="I215" s="52"/>
      <c r="J215" s="52"/>
      <c r="K215" s="52"/>
      <c r="L215" s="52"/>
      <c r="M215" s="52"/>
      <c r="AS215" s="52"/>
      <c r="AT215" s="52"/>
      <c r="AU215" s="52"/>
      <c r="AV215" s="52"/>
      <c r="AW215" s="52"/>
      <c r="AX215" s="52"/>
      <c r="AY215" s="52"/>
      <c r="AZ215" s="52"/>
      <c r="BA215" s="52"/>
      <c r="BB215" s="52"/>
    </row>
    <row r="216" spans="3:54" ht="12.75">
      <c r="C216" s="52"/>
      <c r="D216" s="52"/>
      <c r="E216" s="52"/>
      <c r="F216" s="52"/>
      <c r="G216" s="52"/>
      <c r="H216" s="52"/>
      <c r="I216" s="52"/>
      <c r="J216" s="52"/>
      <c r="K216" s="52"/>
      <c r="L216" s="52"/>
      <c r="M216" s="52"/>
      <c r="AS216" s="52"/>
      <c r="AT216" s="52"/>
      <c r="AU216" s="52"/>
      <c r="AV216" s="52"/>
      <c r="AW216" s="52"/>
      <c r="AX216" s="52"/>
      <c r="AY216" s="52"/>
      <c r="AZ216" s="52"/>
      <c r="BA216" s="52"/>
      <c r="BB216" s="52"/>
    </row>
    <row r="217" spans="3:54" ht="12.75">
      <c r="C217" s="52"/>
      <c r="D217" s="52"/>
      <c r="E217" s="52"/>
      <c r="F217" s="52"/>
      <c r="G217" s="52"/>
      <c r="H217" s="52"/>
      <c r="I217" s="52"/>
      <c r="J217" s="52"/>
      <c r="AS217" s="52"/>
      <c r="AT217" s="52"/>
      <c r="AU217" s="52"/>
      <c r="AV217" s="52"/>
      <c r="AW217" s="52"/>
      <c r="AX217" s="52"/>
      <c r="AY217" s="52"/>
      <c r="AZ217" s="52"/>
      <c r="BA217" s="52"/>
      <c r="BB217" s="52"/>
    </row>
    <row r="218" spans="3:54" ht="12.75">
      <c r="C218" s="52"/>
      <c r="D218" s="52"/>
      <c r="E218" s="52"/>
      <c r="F218" s="52"/>
      <c r="G218" s="52"/>
      <c r="H218" s="52"/>
      <c r="I218" s="52"/>
      <c r="J218" s="52"/>
      <c r="AS218" s="52"/>
      <c r="AT218" s="52"/>
      <c r="AU218" s="52"/>
      <c r="AV218" s="52"/>
      <c r="AW218" s="52"/>
      <c r="AX218" s="52"/>
      <c r="AY218" s="52"/>
      <c r="AZ218" s="52"/>
      <c r="BA218" s="52"/>
      <c r="BB218" s="52"/>
    </row>
    <row r="219" spans="3:10" ht="12.75">
      <c r="C219" s="52"/>
      <c r="D219" s="52"/>
      <c r="E219" s="52"/>
      <c r="F219" s="52"/>
      <c r="G219" s="52"/>
      <c r="H219" s="52"/>
      <c r="I219" s="52"/>
      <c r="J219" s="52"/>
    </row>
    <row r="220" spans="3:10" ht="12.75">
      <c r="C220" s="52"/>
      <c r="D220" s="52"/>
      <c r="E220" s="52"/>
      <c r="F220" s="52"/>
      <c r="G220" s="52"/>
      <c r="H220" s="52"/>
      <c r="I220" s="52"/>
      <c r="J220" s="52"/>
    </row>
    <row r="221" spans="3:10" ht="12.75">
      <c r="C221" s="52"/>
      <c r="D221" s="52"/>
      <c r="E221" s="52"/>
      <c r="F221" s="52"/>
      <c r="G221" s="52"/>
      <c r="H221" s="52"/>
      <c r="I221" s="52"/>
      <c r="J221" s="52"/>
    </row>
    <row r="222" spans="3:10" ht="12.75">
      <c r="C222" s="52"/>
      <c r="D222" s="52"/>
      <c r="E222" s="52"/>
      <c r="F222" s="52"/>
      <c r="G222" s="52"/>
      <c r="H222" s="52"/>
      <c r="I222" s="52"/>
      <c r="J222" s="52"/>
    </row>
    <row r="223" spans="3:10" ht="12.75">
      <c r="C223" s="52"/>
      <c r="D223" s="52"/>
      <c r="E223" s="52"/>
      <c r="F223" s="52"/>
      <c r="G223" s="52"/>
      <c r="H223" s="52"/>
      <c r="I223" s="52"/>
      <c r="J223" s="52"/>
    </row>
    <row r="224" spans="3:10" ht="12.75">
      <c r="C224" s="52"/>
      <c r="D224" s="52"/>
      <c r="E224" s="52"/>
      <c r="F224" s="52"/>
      <c r="G224" s="52"/>
      <c r="H224" s="52"/>
      <c r="I224" s="52"/>
      <c r="J224" s="52"/>
    </row>
    <row r="225" spans="3:10" ht="12.75">
      <c r="C225" s="52"/>
      <c r="D225" s="52"/>
      <c r="E225" s="52"/>
      <c r="F225" s="52"/>
      <c r="G225" s="52"/>
      <c r="H225" s="52"/>
      <c r="I225" s="52"/>
      <c r="J225" s="52"/>
    </row>
    <row r="226" spans="3:10" ht="12.75">
      <c r="C226" s="52"/>
      <c r="D226" s="52"/>
      <c r="E226" s="52"/>
      <c r="F226" s="52"/>
      <c r="G226" s="52"/>
      <c r="H226" s="52"/>
      <c r="I226" s="52"/>
      <c r="J226" s="52"/>
    </row>
    <row r="227" spans="3:10" ht="12.75">
      <c r="C227" s="52"/>
      <c r="D227" s="52"/>
      <c r="E227" s="52"/>
      <c r="F227" s="52"/>
      <c r="G227" s="52"/>
      <c r="H227" s="52"/>
      <c r="I227" s="52"/>
      <c r="J227" s="52"/>
    </row>
    <row r="228" spans="3:10" ht="12.75">
      <c r="C228" s="52"/>
      <c r="D228" s="52"/>
      <c r="E228" s="52"/>
      <c r="F228" s="52"/>
      <c r="G228" s="52"/>
      <c r="H228" s="52"/>
      <c r="I228" s="52"/>
      <c r="J228" s="52"/>
    </row>
    <row r="229" spans="3:10" ht="12.75">
      <c r="C229" s="52"/>
      <c r="D229" s="52"/>
      <c r="E229" s="52"/>
      <c r="F229" s="52"/>
      <c r="G229" s="52"/>
      <c r="H229" s="52"/>
      <c r="I229" s="52"/>
      <c r="J229" s="52"/>
    </row>
    <row r="230" spans="3:10" ht="12.75">
      <c r="C230" s="52"/>
      <c r="D230" s="52"/>
      <c r="E230" s="52"/>
      <c r="F230" s="52"/>
      <c r="G230" s="52"/>
      <c r="H230" s="52"/>
      <c r="I230" s="52"/>
      <c r="J230" s="52"/>
    </row>
    <row r="231" spans="3:10" ht="12.75">
      <c r="C231" s="52"/>
      <c r="D231" s="52"/>
      <c r="E231" s="52"/>
      <c r="F231" s="52"/>
      <c r="G231" s="52"/>
      <c r="H231" s="52"/>
      <c r="I231" s="52"/>
      <c r="J231" s="52"/>
    </row>
    <row r="232" spans="3:10" ht="12.75">
      <c r="C232" s="52"/>
      <c r="D232" s="52"/>
      <c r="E232" s="52"/>
      <c r="F232" s="52"/>
      <c r="G232" s="52"/>
      <c r="H232" s="52"/>
      <c r="I232" s="52"/>
      <c r="J232" s="52"/>
    </row>
    <row r="233" spans="3:10" ht="12.75">
      <c r="C233" s="52"/>
      <c r="D233" s="52"/>
      <c r="E233" s="52"/>
      <c r="F233" s="52"/>
      <c r="G233" s="52"/>
      <c r="H233" s="52"/>
      <c r="I233" s="52"/>
      <c r="J233" s="52"/>
    </row>
    <row r="234" spans="3:10" ht="12.75">
      <c r="C234" s="52"/>
      <c r="D234" s="52"/>
      <c r="E234" s="52"/>
      <c r="F234" s="52"/>
      <c r="G234" s="52"/>
      <c r="H234" s="52"/>
      <c r="I234" s="52"/>
      <c r="J234" s="52"/>
    </row>
    <row r="235" spans="3:10" ht="12.75">
      <c r="C235" s="52"/>
      <c r="D235" s="52"/>
      <c r="E235" s="52"/>
      <c r="F235" s="52"/>
      <c r="G235" s="52"/>
      <c r="H235" s="52"/>
      <c r="I235" s="52"/>
      <c r="J235" s="52"/>
    </row>
    <row r="236" spans="3:10" ht="12.75">
      <c r="C236" s="52"/>
      <c r="D236" s="52"/>
      <c r="E236" s="52"/>
      <c r="F236" s="52"/>
      <c r="G236" s="52"/>
      <c r="H236" s="52"/>
      <c r="I236" s="52"/>
      <c r="J236" s="52"/>
    </row>
    <row r="237" spans="3:10" ht="12.75">
      <c r="C237" s="52"/>
      <c r="D237" s="52"/>
      <c r="E237" s="52"/>
      <c r="F237" s="52"/>
      <c r="G237" s="52"/>
      <c r="H237" s="52"/>
      <c r="I237" s="52"/>
      <c r="J237" s="52"/>
    </row>
    <row r="238" spans="3:10" ht="12.75">
      <c r="C238" s="52"/>
      <c r="D238" s="52"/>
      <c r="E238" s="52"/>
      <c r="F238" s="52"/>
      <c r="G238" s="52"/>
      <c r="H238" s="52"/>
      <c r="I238" s="52"/>
      <c r="J238" s="52"/>
    </row>
    <row r="239" spans="3:10" ht="12.75">
      <c r="C239" s="52"/>
      <c r="D239" s="52"/>
      <c r="E239" s="52"/>
      <c r="F239" s="52"/>
      <c r="G239" s="52"/>
      <c r="H239" s="52"/>
      <c r="I239" s="52"/>
      <c r="J239" s="52"/>
    </row>
    <row r="240" spans="3:10" ht="12.75">
      <c r="C240" s="52"/>
      <c r="D240" s="52"/>
      <c r="E240" s="52"/>
      <c r="F240" s="52"/>
      <c r="G240" s="52"/>
      <c r="H240" s="52"/>
      <c r="I240" s="52"/>
      <c r="J240" s="52"/>
    </row>
    <row r="241" spans="3:10" ht="12.75">
      <c r="C241" s="52"/>
      <c r="D241" s="52"/>
      <c r="E241" s="52"/>
      <c r="F241" s="52"/>
      <c r="G241" s="52"/>
      <c r="H241" s="52"/>
      <c r="I241" s="52"/>
      <c r="J241" s="52"/>
    </row>
    <row r="242" spans="3:10" ht="12.75">
      <c r="C242" s="52"/>
      <c r="D242" s="52"/>
      <c r="E242" s="52"/>
      <c r="F242" s="52"/>
      <c r="G242" s="52"/>
      <c r="H242" s="52"/>
      <c r="I242" s="52"/>
      <c r="J242" s="52"/>
    </row>
    <row r="243" spans="3:10" ht="12.75">
      <c r="C243" s="52"/>
      <c r="D243" s="52"/>
      <c r="E243" s="52"/>
      <c r="F243" s="52"/>
      <c r="G243" s="52"/>
      <c r="H243" s="52"/>
      <c r="I243" s="52"/>
      <c r="J243" s="52"/>
    </row>
  </sheetData>
  <sheetProtection/>
  <mergeCells count="367">
    <mergeCell ref="AS172:AY172"/>
    <mergeCell ref="AS173:AY173"/>
    <mergeCell ref="AS188:AY188"/>
    <mergeCell ref="AS184:AY184"/>
    <mergeCell ref="AS185:AY185"/>
    <mergeCell ref="AS186:AY186"/>
    <mergeCell ref="AS187:AY187"/>
    <mergeCell ref="AS168:AY168"/>
    <mergeCell ref="AS169:AY169"/>
    <mergeCell ref="AS170:AY170"/>
    <mergeCell ref="AS171:AY171"/>
    <mergeCell ref="AS164:AY164"/>
    <mergeCell ref="AS165:AY165"/>
    <mergeCell ref="AS166:AY166"/>
    <mergeCell ref="AS167:AY167"/>
    <mergeCell ref="AS160:AY160"/>
    <mergeCell ref="AS161:AY161"/>
    <mergeCell ref="AS162:AY162"/>
    <mergeCell ref="AS163:AY163"/>
    <mergeCell ref="C159:I159"/>
    <mergeCell ref="AS158:AY158"/>
    <mergeCell ref="AS159:AY159"/>
    <mergeCell ref="AE119:AE123"/>
    <mergeCell ref="AF119:AF123"/>
    <mergeCell ref="AC119:AC123"/>
    <mergeCell ref="AA119:AA123"/>
    <mergeCell ref="Y119:Y123"/>
    <mergeCell ref="Z119:Z123"/>
    <mergeCell ref="AK119:AP123"/>
    <mergeCell ref="C171:I171"/>
    <mergeCell ref="C172:I172"/>
    <mergeCell ref="C173:I173"/>
    <mergeCell ref="C184:I184"/>
    <mergeCell ref="CD11:CD15"/>
    <mergeCell ref="CA11:CB15"/>
    <mergeCell ref="CA16:CA17"/>
    <mergeCell ref="CB16:CB17"/>
    <mergeCell ref="CC11:CC15"/>
    <mergeCell ref="BZ11:BZ17"/>
    <mergeCell ref="BD124:BD125"/>
    <mergeCell ref="BE124:BE125"/>
    <mergeCell ref="BD117:BD123"/>
    <mergeCell ref="BX11:BX15"/>
    <mergeCell ref="BE9:BE15"/>
    <mergeCell ref="BX16:BX17"/>
    <mergeCell ref="BJ9:BJ15"/>
    <mergeCell ref="BN11:BN15"/>
    <mergeCell ref="BN16:BN17"/>
    <mergeCell ref="BK11:BK15"/>
    <mergeCell ref="BM11:BM15"/>
    <mergeCell ref="BL16:BL17"/>
    <mergeCell ref="BK16:BK17"/>
    <mergeCell ref="BW11:BW15"/>
    <mergeCell ref="BG16:BG17"/>
    <mergeCell ref="BO11:BO15"/>
    <mergeCell ref="BT16:BT17"/>
    <mergeCell ref="BO16:BO17"/>
    <mergeCell ref="BQ16:BQ17"/>
    <mergeCell ref="BS11:BS15"/>
    <mergeCell ref="BS16:BS17"/>
    <mergeCell ref="BI16:BI17"/>
    <mergeCell ref="BG9:BI15"/>
    <mergeCell ref="BM124:BM125"/>
    <mergeCell ref="BP119:BP123"/>
    <mergeCell ref="BU124:BU125"/>
    <mergeCell ref="BE117:BE123"/>
    <mergeCell ref="BO124:BO125"/>
    <mergeCell ref="BP124:BP125"/>
    <mergeCell ref="BR119:BR123"/>
    <mergeCell ref="BQ119:BQ123"/>
    <mergeCell ref="BU119:BU123"/>
    <mergeCell ref="BI124:BI125"/>
    <mergeCell ref="BE16:BE17"/>
    <mergeCell ref="BG117:BI123"/>
    <mergeCell ref="BN119:BN123"/>
    <mergeCell ref="BM119:BM123"/>
    <mergeCell ref="BK118:BQ118"/>
    <mergeCell ref="BK119:BK123"/>
    <mergeCell ref="BL119:BL123"/>
    <mergeCell ref="BM16:BM17"/>
    <mergeCell ref="AU124:AU125"/>
    <mergeCell ref="AK124:AK125"/>
    <mergeCell ref="Y124:Y125"/>
    <mergeCell ref="AP124:AP125"/>
    <mergeCell ref="AC124:AC125"/>
    <mergeCell ref="AD124:AD125"/>
    <mergeCell ref="AJ119:AJ125"/>
    <mergeCell ref="AF124:AF125"/>
    <mergeCell ref="AB124:AB125"/>
    <mergeCell ref="AB119:AB123"/>
    <mergeCell ref="AX9:AX15"/>
    <mergeCell ref="AY16:AY17"/>
    <mergeCell ref="AZ16:AZ17"/>
    <mergeCell ref="AZ9:AZ15"/>
    <mergeCell ref="AX16:AX17"/>
    <mergeCell ref="AY9:AY15"/>
    <mergeCell ref="AS9:AT15"/>
    <mergeCell ref="BL124:BL125"/>
    <mergeCell ref="AS139:AT139"/>
    <mergeCell ref="BG124:BG125"/>
    <mergeCell ref="BH124:BH125"/>
    <mergeCell ref="BK124:BK125"/>
    <mergeCell ref="AS137:AT137"/>
    <mergeCell ref="AS124:AS125"/>
    <mergeCell ref="AS133:AT133"/>
    <mergeCell ref="AT124:AT125"/>
    <mergeCell ref="AQ3:AU3"/>
    <mergeCell ref="AV3:BB3"/>
    <mergeCell ref="AT5:AV5"/>
    <mergeCell ref="AT6:AV6"/>
    <mergeCell ref="AY5:AZ5"/>
    <mergeCell ref="AY6:AZ6"/>
    <mergeCell ref="BA5:BB5"/>
    <mergeCell ref="BA6:BB6"/>
    <mergeCell ref="BF9:BF15"/>
    <mergeCell ref="BC16:BC17"/>
    <mergeCell ref="AV9:AV15"/>
    <mergeCell ref="AW9:AW15"/>
    <mergeCell ref="AV16:AV17"/>
    <mergeCell ref="BD16:BD17"/>
    <mergeCell ref="BC9:BC15"/>
    <mergeCell ref="AW16:AW17"/>
    <mergeCell ref="BD9:BD15"/>
    <mergeCell ref="BA9:BA15"/>
    <mergeCell ref="AU9:AU15"/>
    <mergeCell ref="U119:U123"/>
    <mergeCell ref="W119:W123"/>
    <mergeCell ref="X119:X123"/>
    <mergeCell ref="U16:U17"/>
    <mergeCell ref="W16:W17"/>
    <mergeCell ref="V16:V17"/>
    <mergeCell ref="X16:X17"/>
    <mergeCell ref="Y16:Y17"/>
    <mergeCell ref="AA16:AA17"/>
    <mergeCell ref="X124:X125"/>
    <mergeCell ref="V119:V123"/>
    <mergeCell ref="U118:AA118"/>
    <mergeCell ref="U117:AF117"/>
    <mergeCell ref="AA124:AA125"/>
    <mergeCell ref="Z124:Z125"/>
    <mergeCell ref="V124:V125"/>
    <mergeCell ref="AE124:AE125"/>
    <mergeCell ref="AB118:AF118"/>
    <mergeCell ref="AD119:AD123"/>
    <mergeCell ref="Y11:Y15"/>
    <mergeCell ref="X11:X15"/>
    <mergeCell ref="AB10:AF10"/>
    <mergeCell ref="U11:U15"/>
    <mergeCell ref="V11:V15"/>
    <mergeCell ref="AE11:AE15"/>
    <mergeCell ref="AA11:AA15"/>
    <mergeCell ref="AF11:AF15"/>
    <mergeCell ref="AC11:AC15"/>
    <mergeCell ref="AD11:AD15"/>
    <mergeCell ref="W124:W125"/>
    <mergeCell ref="U124:U125"/>
    <mergeCell ref="Q117:S123"/>
    <mergeCell ref="Q124:Q125"/>
    <mergeCell ref="S124:S125"/>
    <mergeCell ref="T117:T125"/>
    <mergeCell ref="N124:N125"/>
    <mergeCell ref="O117:O123"/>
    <mergeCell ref="P117:P123"/>
    <mergeCell ref="R124:R125"/>
    <mergeCell ref="O124:O125"/>
    <mergeCell ref="P124:P125"/>
    <mergeCell ref="G16:G17"/>
    <mergeCell ref="H16:H17"/>
    <mergeCell ref="I16:I17"/>
    <mergeCell ref="J16:J17"/>
    <mergeCell ref="B6:C6"/>
    <mergeCell ref="C117:D123"/>
    <mergeCell ref="C124:C125"/>
    <mergeCell ref="C96:D96"/>
    <mergeCell ref="C24:D24"/>
    <mergeCell ref="C93:D93"/>
    <mergeCell ref="C22:D22"/>
    <mergeCell ref="C98:D98"/>
    <mergeCell ref="C112:D112"/>
    <mergeCell ref="C16:C17"/>
    <mergeCell ref="C9:D15"/>
    <mergeCell ref="E9:E15"/>
    <mergeCell ref="F9:F15"/>
    <mergeCell ref="D16:D17"/>
    <mergeCell ref="E16:E17"/>
    <mergeCell ref="F16:F17"/>
    <mergeCell ref="A1:D1"/>
    <mergeCell ref="A3:E3"/>
    <mergeCell ref="B5:C5"/>
    <mergeCell ref="J5:K5"/>
    <mergeCell ref="A2:D2"/>
    <mergeCell ref="E5:G5"/>
    <mergeCell ref="F3:M3"/>
    <mergeCell ref="L5:M5"/>
    <mergeCell ref="AS146:AT146"/>
    <mergeCell ref="AS148:AT148"/>
    <mergeCell ref="AS150:AT150"/>
    <mergeCell ref="AS144:AT144"/>
    <mergeCell ref="AS207:BB207"/>
    <mergeCell ref="AS208:BB208"/>
    <mergeCell ref="AS209:BB209"/>
    <mergeCell ref="AS203:BB203"/>
    <mergeCell ref="AS204:BB204"/>
    <mergeCell ref="AS205:BB205"/>
    <mergeCell ref="AS213:BB213"/>
    <mergeCell ref="AS210:BB210"/>
    <mergeCell ref="AS212:BB212"/>
    <mergeCell ref="AS196:BB196"/>
    <mergeCell ref="AS211:BB211"/>
    <mergeCell ref="AS206:BB206"/>
    <mergeCell ref="AS199:BB199"/>
    <mergeCell ref="AS200:BB200"/>
    <mergeCell ref="AS201:BB201"/>
    <mergeCell ref="AS202:BB202"/>
    <mergeCell ref="AS192:BB192"/>
    <mergeCell ref="AS197:BB197"/>
    <mergeCell ref="BB9:BB15"/>
    <mergeCell ref="BB16:BB17"/>
    <mergeCell ref="AS135:AT135"/>
    <mergeCell ref="AS152:AT152"/>
    <mergeCell ref="AS141:AT141"/>
    <mergeCell ref="AS143:AT143"/>
    <mergeCell ref="AX117:AX123"/>
    <mergeCell ref="AS22:AT22"/>
    <mergeCell ref="AS198:BB198"/>
    <mergeCell ref="AS193:BB193"/>
    <mergeCell ref="AS194:BB194"/>
    <mergeCell ref="AS195:BB195"/>
    <mergeCell ref="BK9:BV9"/>
    <mergeCell ref="BK10:BQ10"/>
    <mergeCell ref="BR10:BV10"/>
    <mergeCell ref="BU11:BU15"/>
    <mergeCell ref="BV11:BV15"/>
    <mergeCell ref="BQ11:BQ15"/>
    <mergeCell ref="BT11:BT15"/>
    <mergeCell ref="BL11:BL15"/>
    <mergeCell ref="BR11:BR15"/>
    <mergeCell ref="BP11:BP15"/>
    <mergeCell ref="BC117:BC123"/>
    <mergeCell ref="BF117:BF123"/>
    <mergeCell ref="BB117:BB123"/>
    <mergeCell ref="AS112:AT112"/>
    <mergeCell ref="AV117:AV123"/>
    <mergeCell ref="AS115:AT115"/>
    <mergeCell ref="AS24:AT24"/>
    <mergeCell ref="AS117:AT123"/>
    <mergeCell ref="AS93:AT93"/>
    <mergeCell ref="AS96:AT96"/>
    <mergeCell ref="AS98:AT98"/>
    <mergeCell ref="BF124:BF125"/>
    <mergeCell ref="AS16:AS17"/>
    <mergeCell ref="AT16:AT17"/>
    <mergeCell ref="BC124:BC125"/>
    <mergeCell ref="BB124:BB125"/>
    <mergeCell ref="AV124:AV125"/>
    <mergeCell ref="AU117:AU123"/>
    <mergeCell ref="BA16:BA17"/>
    <mergeCell ref="AX124:AX125"/>
    <mergeCell ref="AU16:AU17"/>
    <mergeCell ref="BV16:BV17"/>
    <mergeCell ref="BR124:BR125"/>
    <mergeCell ref="BU16:BU17"/>
    <mergeCell ref="BN124:BN125"/>
    <mergeCell ref="BV124:BV125"/>
    <mergeCell ref="BQ124:BQ125"/>
    <mergeCell ref="BV119:BV123"/>
    <mergeCell ref="BO119:BO123"/>
    <mergeCell ref="BK117:BV117"/>
    <mergeCell ref="BR118:BV118"/>
    <mergeCell ref="BR16:BR17"/>
    <mergeCell ref="BF16:BF17"/>
    <mergeCell ref="BH16:BH17"/>
    <mergeCell ref="BP16:BP17"/>
    <mergeCell ref="BJ16:BJ17"/>
    <mergeCell ref="K117:K123"/>
    <mergeCell ref="E6:G6"/>
    <mergeCell ref="J9:J15"/>
    <mergeCell ref="L6:M6"/>
    <mergeCell ref="K9:K15"/>
    <mergeCell ref="J6:K6"/>
    <mergeCell ref="G9:G15"/>
    <mergeCell ref="H9:H15"/>
    <mergeCell ref="I9:I15"/>
    <mergeCell ref="L9:L15"/>
    <mergeCell ref="C169:I169"/>
    <mergeCell ref="C170:I170"/>
    <mergeCell ref="C165:I165"/>
    <mergeCell ref="C166:I166"/>
    <mergeCell ref="C167:I167"/>
    <mergeCell ref="M16:M17"/>
    <mergeCell ref="O16:O17"/>
    <mergeCell ref="K16:K17"/>
    <mergeCell ref="C168:I168"/>
    <mergeCell ref="C163:I163"/>
    <mergeCell ref="C164:I164"/>
    <mergeCell ref="C161:I161"/>
    <mergeCell ref="J117:J125"/>
    <mergeCell ref="K124:K125"/>
    <mergeCell ref="L124:L125"/>
    <mergeCell ref="I117:I123"/>
    <mergeCell ref="C148:D148"/>
    <mergeCell ref="P16:P17"/>
    <mergeCell ref="N16:N17"/>
    <mergeCell ref="E124:E125"/>
    <mergeCell ref="F124:F125"/>
    <mergeCell ref="I124:I125"/>
    <mergeCell ref="L117:L123"/>
    <mergeCell ref="L16:L17"/>
    <mergeCell ref="M124:M125"/>
    <mergeCell ref="C133:D133"/>
    <mergeCell ref="D124:D125"/>
    <mergeCell ref="C162:I162"/>
    <mergeCell ref="B16:B17"/>
    <mergeCell ref="C150:E150"/>
    <mergeCell ref="C152:D152"/>
    <mergeCell ref="C154:D154"/>
    <mergeCell ref="C156:D156"/>
    <mergeCell ref="C158:I158"/>
    <mergeCell ref="C160:I160"/>
    <mergeCell ref="C146:D146"/>
    <mergeCell ref="C139:D139"/>
    <mergeCell ref="C141:D141"/>
    <mergeCell ref="C135:D135"/>
    <mergeCell ref="T16:T17"/>
    <mergeCell ref="AB11:AB15"/>
    <mergeCell ref="C144:D144"/>
    <mergeCell ref="H117:H123"/>
    <mergeCell ref="H124:H125"/>
    <mergeCell ref="G117:G125"/>
    <mergeCell ref="E117:E123"/>
    <mergeCell ref="F117:F123"/>
    <mergeCell ref="C143:D143"/>
    <mergeCell ref="C115:D115"/>
    <mergeCell ref="Z11:Z15"/>
    <mergeCell ref="AB16:AB17"/>
    <mergeCell ref="AC16:AC17"/>
    <mergeCell ref="Z16:Z17"/>
    <mergeCell ref="M117:M123"/>
    <mergeCell ref="AN11:AN17"/>
    <mergeCell ref="N117:N123"/>
    <mergeCell ref="O9:O15"/>
    <mergeCell ref="AF16:AF17"/>
    <mergeCell ref="AD16:AD17"/>
    <mergeCell ref="AL16:AL17"/>
    <mergeCell ref="M9:M15"/>
    <mergeCell ref="N9:N15"/>
    <mergeCell ref="T9:T15"/>
    <mergeCell ref="P9:P15"/>
    <mergeCell ref="Q9:S15"/>
    <mergeCell ref="Q16:Q17"/>
    <mergeCell ref="AO11:AP15"/>
    <mergeCell ref="AE16:AE17"/>
    <mergeCell ref="U10:AA10"/>
    <mergeCell ref="U9:AF9"/>
    <mergeCell ref="W11:W15"/>
    <mergeCell ref="R16:R17"/>
    <mergeCell ref="S16:S17"/>
    <mergeCell ref="C19:D19"/>
    <mergeCell ref="AS19:AT19"/>
    <mergeCell ref="AH10:AP10"/>
    <mergeCell ref="AJ11:AJ17"/>
    <mergeCell ref="AK16:AK17"/>
    <mergeCell ref="AH11:AH17"/>
    <mergeCell ref="AO16:AO17"/>
    <mergeCell ref="AP16:AP17"/>
    <mergeCell ref="AK11:AL15"/>
    <mergeCell ref="AI11:AI17"/>
  </mergeCells>
  <conditionalFormatting sqref="AE94:AF94 AE113:AF113 C113:D113 C94:D94 AE20:AF20 C20:D20 AE99:AF110 C99:D110 AE127:AF131 C127:D131 C25:D91 AE25:AF91">
    <cfRule type="expression" priority="1" dxfId="1" stopIfTrue="1">
      <formula>LEFT(AS20,1)="E"</formula>
    </cfRule>
    <cfRule type="expression" priority="2" dxfId="2" stopIfTrue="1">
      <formula>LEFT(AS20,1)="W"</formula>
    </cfRule>
  </conditionalFormatting>
  <conditionalFormatting sqref="A1:B1">
    <cfRule type="expression" priority="3" dxfId="3" stopIfTrue="1">
      <formula>BW1&lt;&gt;0</formula>
    </cfRule>
    <cfRule type="expression" priority="4" dxfId="4" stopIfTrue="1">
      <formula>BW1=0</formula>
    </cfRule>
  </conditionalFormatting>
  <conditionalFormatting sqref="C1:D1">
    <cfRule type="expression" priority="5" dxfId="3" stopIfTrue="1">
      <formula>CA1&lt;&gt;0</formula>
    </cfRule>
    <cfRule type="expression" priority="6" dxfId="4" stopIfTrue="1">
      <formula>CA1=0</formula>
    </cfRule>
  </conditionalFormatting>
  <conditionalFormatting sqref="A6 J5">
    <cfRule type="expression" priority="7" dxfId="1" stopIfTrue="1">
      <formula>LEFT(AR5,1)="E"</formula>
    </cfRule>
  </conditionalFormatting>
  <conditionalFormatting sqref="J6">
    <cfRule type="expression" priority="8" dxfId="2" stopIfTrue="1">
      <formula>LEFT(BA6,1)="W"</formula>
    </cfRule>
  </conditionalFormatting>
  <conditionalFormatting sqref="B6:D6">
    <cfRule type="expression" priority="9" dxfId="1" stopIfTrue="1">
      <formula>LEFT(AR6,1)="E"</formula>
    </cfRule>
  </conditionalFormatting>
  <conditionalFormatting sqref="H6 T16:T17">
    <cfRule type="expression" priority="10" dxfId="2" stopIfTrue="1">
      <formula>LEFT(AX6,1)="W"</formula>
    </cfRule>
  </conditionalFormatting>
  <conditionalFormatting sqref="Q141 Y144 Y143:Z143 X143:X144 I139">
    <cfRule type="expression" priority="11" dxfId="0" stopIfTrue="1">
      <formula>AND(LEFT(AY139,1)="E",I139="")</formula>
    </cfRule>
    <cfRule type="expression" priority="12" dxfId="1" stopIfTrue="1">
      <formula>(LEFT(AY139,1)="E")</formula>
    </cfRule>
    <cfRule type="expression" priority="13" dxfId="5" stopIfTrue="1">
      <formula>(LEFT(AY139,1)="W")</formula>
    </cfRule>
  </conditionalFormatting>
  <conditionalFormatting sqref="E133:F133 H133 X148:Z148 AB154 AB156 Q146 AA150 X115:AD115 X22:AC22 X96:AC96 Z144 AA152 X94:AC94 X113:AD113 E115:R115 E96:R96 L133:R133 E113:V113 E94:V94 U96:V96 U22:V22 U115:V115 U133:V133 U135:V135 X135:AD135 X133:AB133 E22:R22 X20:AC20 E20:V20 X25:AC91 E25:V91 L127:S131 X127:AB131 H127:H131 E127:F131 U127:V131 E99:V110 X99:AD110">
    <cfRule type="expression" priority="14" dxfId="0" stopIfTrue="1">
      <formula>AND(LEFT(AU20,1)="E",E20="")</formula>
    </cfRule>
    <cfRule type="expression" priority="15" dxfId="1" stopIfTrue="1">
      <formula>LEFT(AU20,1)="E"</formula>
    </cfRule>
    <cfRule type="expression" priority="16" dxfId="2" stopIfTrue="1">
      <formula>LEFT(AU20,1)="W"</formula>
    </cfRule>
  </conditionalFormatting>
  <conditionalFormatting sqref="E6:G6 L5:M5">
    <cfRule type="expression" priority="17" dxfId="1" stopIfTrue="1">
      <formula>LEFT(AT5,1)="E"</formula>
    </cfRule>
  </conditionalFormatting>
  <conditionalFormatting sqref="I6 L6:M6">
    <cfRule type="expression" priority="18" dxfId="2" stopIfTrue="1">
      <formula>LEFT(AX6,1)="W"</formula>
    </cfRule>
  </conditionalFormatting>
  <conditionalFormatting sqref="A20">
    <cfRule type="expression" priority="19" dxfId="0" stopIfTrue="1">
      <formula>AND(LEFT(AR20,1)="E",A20="")</formula>
    </cfRule>
    <cfRule type="expression" priority="20" dxfId="1" stopIfTrue="1">
      <formula>LEFT(AR20,1)="E"</formula>
    </cfRule>
    <cfRule type="expression" priority="21" dxfId="2" stopIfTrue="1">
      <formula>LEFT(AR20,1)="W"</formula>
    </cfRule>
  </conditionalFormatting>
  <conditionalFormatting sqref="K5">
    <cfRule type="expression" priority="22" dxfId="1" stopIfTrue="1">
      <formula>LEFT(#REF!,1)="E"</formula>
    </cfRule>
  </conditionalFormatting>
  <conditionalFormatting sqref="K6">
    <cfRule type="expression" priority="23" dxfId="2" stopIfTrue="1">
      <formula>LEFT(#REF!,1)="W"</formula>
    </cfRule>
  </conditionalFormatting>
  <dataValidations count="1">
    <dataValidation type="list" allowBlank="1" showInputMessage="1" showErrorMessage="1" errorTitle="S52 Budget 2006-07" error="You have made an invalid selection/entry - Please retry and correct this." sqref="T113 T20 T94 T99:T110 T25:T91">
      <formula1>"No Variation Applied, School Forum, Secretary of State"</formula1>
    </dataValidation>
  </dataValidations>
  <printOptions/>
  <pageMargins left="0.18" right="0.17" top="0.3" bottom="0.27" header="0.17" footer="0.17"/>
  <pageSetup horizontalDpi="600" verticalDpi="600" orientation="landscape" paperSize="9" scale="80" r:id="rId2"/>
  <rowBreaks count="2" manualBreakCount="2">
    <brk id="116" max="31" man="1"/>
    <brk id="136" max="31" man="1"/>
  </rowBreaks>
  <drawing r:id="rId1"/>
</worksheet>
</file>

<file path=xl/worksheets/sheet4.xml><?xml version="1.0" encoding="utf-8"?>
<worksheet xmlns="http://schemas.openxmlformats.org/spreadsheetml/2006/main" xmlns:r="http://schemas.openxmlformats.org/officeDocument/2006/relationships">
  <sheetPr codeName="Sheet7"/>
  <dimension ref="A1:EY153"/>
  <sheetViews>
    <sheetView showGridLines="0" workbookViewId="0" topLeftCell="A1">
      <pane xSplit="4" ySplit="19" topLeftCell="E20" activePane="bottomRight" state="frozen"/>
      <selection pane="topLeft" activeCell="A1" sqref="A1"/>
      <selection pane="topRight" activeCell="E1" sqref="E1"/>
      <selection pane="bottomLeft" activeCell="A20" sqref="A20"/>
      <selection pane="bottomRight" activeCell="E20" sqref="E20"/>
    </sheetView>
  </sheetViews>
  <sheetFormatPr defaultColWidth="9.140625" defaultRowHeight="12.75"/>
  <cols>
    <col min="2" max="2" width="8.140625" style="0" customWidth="1"/>
    <col min="3" max="3" width="24.421875" style="0" customWidth="1"/>
    <col min="4" max="4" width="11.57421875" style="0" customWidth="1"/>
    <col min="11" max="11" width="10.7109375" style="0" customWidth="1"/>
    <col min="29" max="30" width="9.57421875" style="0" customWidth="1"/>
    <col min="33" max="33" width="11.28125" style="0" customWidth="1"/>
    <col min="41" max="41" width="10.00390625" style="0" customWidth="1"/>
    <col min="47" max="50" width="10.140625" style="0" customWidth="1"/>
    <col min="51" max="66" width="10.00390625" style="0" customWidth="1"/>
    <col min="72" max="72" width="9.7109375" style="0" customWidth="1"/>
    <col min="75" max="75" width="11.140625" style="0" customWidth="1"/>
    <col min="77" max="77" width="9.7109375" style="0" customWidth="1"/>
    <col min="78" max="79" width="9.140625" style="0" hidden="1" customWidth="1"/>
    <col min="81" max="81" width="12.28125" style="0" bestFit="1" customWidth="1"/>
    <col min="127" max="129" width="8.421875" style="0" hidden="1" customWidth="1"/>
    <col min="130" max="132" width="4.57421875" style="0" hidden="1" customWidth="1"/>
    <col min="133" max="133" width="6.8515625" style="0" hidden="1" customWidth="1"/>
    <col min="134" max="145" width="4.57421875" style="0" hidden="1" customWidth="1"/>
    <col min="146" max="154" width="3.28125" style="0" customWidth="1"/>
  </cols>
  <sheetData>
    <row r="1" spans="1:155" ht="34.5" customHeight="1">
      <c r="A1" s="1194" t="str">
        <f>IF(EO1&lt;&gt;0,"ERRORS/WARNINGS ARE PRESENT","NO ERRORS/WARNINGS")</f>
        <v>ERRORS/WARNINGS ARE PRESENT</v>
      </c>
      <c r="B1" s="1194"/>
      <c r="C1" s="1194"/>
      <c r="D1" s="1194"/>
      <c r="E1" s="490"/>
      <c r="K1" s="428"/>
      <c r="AB1" s="1137" t="s">
        <v>380</v>
      </c>
      <c r="AC1" s="1137" t="s">
        <v>380</v>
      </c>
      <c r="AJ1" s="1137" t="s">
        <v>380</v>
      </c>
      <c r="AL1" s="1137" t="s">
        <v>380</v>
      </c>
      <c r="AM1" s="429"/>
      <c r="AN1" s="429"/>
      <c r="AO1" s="1137" t="s">
        <v>380</v>
      </c>
      <c r="AU1" s="1137" t="s">
        <v>380</v>
      </c>
      <c r="AV1" s="429"/>
      <c r="AW1" s="429"/>
      <c r="AX1" s="1137" t="s">
        <v>380</v>
      </c>
      <c r="AY1" s="429"/>
      <c r="AZ1" s="429"/>
      <c r="BA1" s="429"/>
      <c r="BB1" s="429"/>
      <c r="BC1" s="1137" t="s">
        <v>380</v>
      </c>
      <c r="BD1" s="429"/>
      <c r="BE1" s="429"/>
      <c r="BF1" s="429"/>
      <c r="BG1" s="429"/>
      <c r="BH1" s="429"/>
      <c r="BI1" s="1137" t="s">
        <v>380</v>
      </c>
      <c r="BJ1" s="429"/>
      <c r="BK1" s="429"/>
      <c r="BL1" s="429"/>
      <c r="BM1" s="429"/>
      <c r="BN1" s="1137" t="s">
        <v>380</v>
      </c>
      <c r="BT1" s="1137" t="s">
        <v>380</v>
      </c>
      <c r="BW1" s="1137" t="s">
        <v>380</v>
      </c>
      <c r="BX1" s="1137" t="s">
        <v>380</v>
      </c>
      <c r="BY1" s="1137" t="s">
        <v>380</v>
      </c>
      <c r="BZ1" s="491"/>
      <c r="CA1" s="431"/>
      <c r="EO1" s="434">
        <f>SUM(EO5:EO128)</f>
        <v>1</v>
      </c>
      <c r="EY1" s="484"/>
    </row>
    <row r="2" spans="1:155" ht="34.5" customHeight="1" thickBot="1">
      <c r="A2" s="1203" t="s">
        <v>438</v>
      </c>
      <c r="B2" s="1203"/>
      <c r="C2" s="1203"/>
      <c r="D2" s="1203"/>
      <c r="E2" s="492"/>
      <c r="AB2" s="1137"/>
      <c r="AC2" s="1137"/>
      <c r="AJ2" s="1137"/>
      <c r="AL2" s="1137"/>
      <c r="AM2" s="429"/>
      <c r="AN2" s="429"/>
      <c r="AO2" s="1137"/>
      <c r="AU2" s="1137"/>
      <c r="AV2" s="429"/>
      <c r="AW2" s="429"/>
      <c r="AX2" s="1137"/>
      <c r="AY2" s="429"/>
      <c r="AZ2" s="429"/>
      <c r="BA2" s="429"/>
      <c r="BB2" s="429"/>
      <c r="BC2" s="1137"/>
      <c r="BD2" s="429"/>
      <c r="BE2" s="429"/>
      <c r="BF2" s="429"/>
      <c r="BG2" s="429"/>
      <c r="BH2" s="429"/>
      <c r="BI2" s="1137"/>
      <c r="BJ2" s="429"/>
      <c r="BK2" s="429"/>
      <c r="BL2" s="429"/>
      <c r="BM2" s="429"/>
      <c r="BN2" s="1137"/>
      <c r="BT2" s="1137"/>
      <c r="BW2" s="1137"/>
      <c r="BX2" s="1137"/>
      <c r="BY2" s="1137"/>
      <c r="BZ2" s="491"/>
      <c r="CA2" s="431"/>
      <c r="EO2" s="435"/>
      <c r="EY2" s="484"/>
    </row>
    <row r="3" spans="1:155" ht="13.5" customHeight="1" thickBot="1">
      <c r="A3" s="1199" t="s">
        <v>439</v>
      </c>
      <c r="B3" s="1200"/>
      <c r="C3" s="1200"/>
      <c r="D3" s="1200"/>
      <c r="E3" s="1200"/>
      <c r="F3" s="1201" t="s">
        <v>440</v>
      </c>
      <c r="G3" s="1201"/>
      <c r="H3" s="1201"/>
      <c r="I3" s="1201"/>
      <c r="J3" s="1201"/>
      <c r="K3" s="1201"/>
      <c r="L3" s="1201"/>
      <c r="M3" s="1201"/>
      <c r="N3" s="1201"/>
      <c r="O3" s="1201"/>
      <c r="P3" s="1201"/>
      <c r="Q3" s="1201"/>
      <c r="R3" s="1201"/>
      <c r="S3" s="1202"/>
      <c r="AB3" s="1137"/>
      <c r="AC3" s="1137"/>
      <c r="AJ3" s="1137"/>
      <c r="AL3" s="1137"/>
      <c r="AM3" s="429"/>
      <c r="AN3" s="429"/>
      <c r="AO3" s="1137"/>
      <c r="AU3" s="1137"/>
      <c r="AV3" s="429"/>
      <c r="AW3" s="429"/>
      <c r="AX3" s="1137"/>
      <c r="AY3" s="429"/>
      <c r="AZ3" s="429"/>
      <c r="BA3" s="429"/>
      <c r="BB3" s="429"/>
      <c r="BC3" s="1137"/>
      <c r="BD3" s="429"/>
      <c r="BE3" s="429"/>
      <c r="BF3" s="429"/>
      <c r="BG3" s="429"/>
      <c r="BH3" s="429"/>
      <c r="BI3" s="1137"/>
      <c r="BJ3" s="429"/>
      <c r="BK3" s="429"/>
      <c r="BL3" s="429"/>
      <c r="BM3" s="429"/>
      <c r="BN3" s="1137"/>
      <c r="BT3" s="1137"/>
      <c r="BW3" s="1137"/>
      <c r="BX3" s="1137"/>
      <c r="BY3" s="1137"/>
      <c r="BZ3" s="491"/>
      <c r="CA3" s="431"/>
      <c r="DW3" s="436"/>
      <c r="DX3" s="436"/>
      <c r="DY3" s="436"/>
      <c r="DZ3" s="436"/>
      <c r="EA3" s="436"/>
      <c r="EB3" s="436"/>
      <c r="EC3" s="436"/>
      <c r="ED3" s="436"/>
      <c r="EE3" s="436"/>
      <c r="EF3" s="436"/>
      <c r="EG3" s="436"/>
      <c r="EH3" s="436"/>
      <c r="EI3" s="436"/>
      <c r="EJ3" s="436"/>
      <c r="EK3" s="436"/>
      <c r="EL3" s="436"/>
      <c r="EM3" s="436"/>
      <c r="EN3" s="436"/>
      <c r="EO3" s="436"/>
      <c r="EP3" s="436"/>
      <c r="EQ3" s="436"/>
      <c r="ER3" s="436"/>
      <c r="ES3" s="436"/>
      <c r="ET3" s="436"/>
      <c r="EU3" s="436"/>
      <c r="EV3" s="436"/>
      <c r="EW3" s="436"/>
      <c r="EX3" s="436"/>
      <c r="EY3" s="484"/>
    </row>
    <row r="4" spans="28:155" ht="13.5" thickBot="1">
      <c r="AB4" s="1137"/>
      <c r="AC4" s="1137"/>
      <c r="AJ4" s="1137"/>
      <c r="AL4" s="1137"/>
      <c r="AM4" s="429"/>
      <c r="AN4" s="429"/>
      <c r="AO4" s="1137"/>
      <c r="AU4" s="1137"/>
      <c r="AV4" s="429"/>
      <c r="AW4" s="429"/>
      <c r="AX4" s="1137"/>
      <c r="AY4" s="429"/>
      <c r="AZ4" s="429"/>
      <c r="BA4" s="429"/>
      <c r="BB4" s="429"/>
      <c r="BC4" s="1137"/>
      <c r="BD4" s="429"/>
      <c r="BE4" s="429"/>
      <c r="BF4" s="429"/>
      <c r="BG4" s="429"/>
      <c r="BH4" s="429"/>
      <c r="BI4" s="1137"/>
      <c r="BJ4" s="429"/>
      <c r="BK4" s="429"/>
      <c r="BL4" s="429"/>
      <c r="BM4" s="429"/>
      <c r="BN4" s="1137"/>
      <c r="BT4" s="1137"/>
      <c r="BW4" s="1137"/>
      <c r="BX4" s="1137"/>
      <c r="BY4" s="1137"/>
      <c r="BZ4" s="491"/>
      <c r="CA4" s="431"/>
      <c r="DW4" s="436"/>
      <c r="DX4" s="436"/>
      <c r="DY4" s="436"/>
      <c r="DZ4" s="436"/>
      <c r="EA4" s="436"/>
      <c r="EB4" s="436"/>
      <c r="EC4" s="436"/>
      <c r="ED4" s="436"/>
      <c r="EE4" s="436"/>
      <c r="EF4" s="436"/>
      <c r="EG4" s="436"/>
      <c r="EH4" s="436"/>
      <c r="EI4" s="436"/>
      <c r="EJ4" s="436"/>
      <c r="EK4" s="436"/>
      <c r="EL4" s="436"/>
      <c r="EM4" s="436"/>
      <c r="EN4" s="436"/>
      <c r="EO4" s="436"/>
      <c r="EP4" s="436"/>
      <c r="EQ4" s="436"/>
      <c r="ER4" s="436"/>
      <c r="ES4" s="436"/>
      <c r="ET4" s="436"/>
      <c r="EU4" s="436"/>
      <c r="EV4" s="436"/>
      <c r="EW4" s="436"/>
      <c r="EX4" s="436"/>
      <c r="EY4" s="484"/>
    </row>
    <row r="5" spans="1:155" ht="39" customHeight="1" thickBot="1">
      <c r="A5" s="493" t="s">
        <v>804</v>
      </c>
      <c r="B5" s="1156" t="s">
        <v>805</v>
      </c>
      <c r="C5" s="1157"/>
      <c r="D5" s="494" t="s">
        <v>806</v>
      </c>
      <c r="E5" s="1007" t="s">
        <v>807</v>
      </c>
      <c r="F5" s="1008"/>
      <c r="G5" s="1008"/>
      <c r="H5" s="1008"/>
      <c r="I5" s="1009"/>
      <c r="J5" s="1205" t="s">
        <v>808</v>
      </c>
      <c r="K5" s="1206"/>
      <c r="L5" s="495">
        <v>334</v>
      </c>
      <c r="M5" s="929" t="s">
        <v>809</v>
      </c>
      <c r="N5" s="919"/>
      <c r="O5" s="920"/>
      <c r="P5" s="1195">
        <f>+'Table 1'!P5:S5</f>
        <v>0</v>
      </c>
      <c r="Q5" s="1196"/>
      <c r="R5" s="1196"/>
      <c r="S5" s="1048"/>
      <c r="AB5" s="1137"/>
      <c r="AC5" s="1137"/>
      <c r="AJ5" s="1137"/>
      <c r="AL5" s="1137"/>
      <c r="AM5" s="429"/>
      <c r="AN5" s="429"/>
      <c r="AO5" s="1137"/>
      <c r="AU5" s="1137"/>
      <c r="AV5" s="429"/>
      <c r="AW5" s="429"/>
      <c r="AX5" s="1137"/>
      <c r="AY5" s="429"/>
      <c r="AZ5" s="429"/>
      <c r="BA5" s="429"/>
      <c r="BB5" s="429"/>
      <c r="BC5" s="1137"/>
      <c r="BD5" s="429"/>
      <c r="BE5" s="429"/>
      <c r="BF5" s="429"/>
      <c r="BG5" s="429"/>
      <c r="BH5" s="429"/>
      <c r="BI5" s="1137"/>
      <c r="BJ5" s="429"/>
      <c r="BK5" s="429"/>
      <c r="BL5" s="429"/>
      <c r="BM5" s="429"/>
      <c r="BN5" s="1137"/>
      <c r="BT5" s="1137"/>
      <c r="BW5" s="1137"/>
      <c r="BX5" s="1137"/>
      <c r="BY5" s="1137"/>
      <c r="BZ5" s="491"/>
      <c r="CA5" s="431"/>
      <c r="DW5" s="441" t="str">
        <f>A5</f>
        <v>Year</v>
      </c>
      <c r="DX5" s="441" t="str">
        <f>B5</f>
        <v>2010-11</v>
      </c>
      <c r="DY5" s="441" t="str">
        <f>D5</f>
        <v>Local Authority Name</v>
      </c>
      <c r="DZ5" s="65" t="str">
        <f>E5</f>
        <v>Solihull</v>
      </c>
      <c r="EA5" s="66"/>
      <c r="EB5" s="67"/>
      <c r="EC5" s="441" t="str">
        <f>J5</f>
        <v>Local Authority Number</v>
      </c>
      <c r="ED5" s="65">
        <f>L5</f>
        <v>334</v>
      </c>
      <c r="EE5" s="65" t="str">
        <f>M5</f>
        <v>Email Address</v>
      </c>
      <c r="EF5" s="67"/>
      <c r="EG5" s="442">
        <f>'Table 2'!BA5</f>
        <v>0</v>
      </c>
      <c r="EO5" s="434">
        <f>IF(LEN(TRIM(EG5))&gt;0,1,0)</f>
        <v>1</v>
      </c>
      <c r="EY5" s="484"/>
    </row>
    <row r="6" spans="1:155" ht="13.5" thickBot="1">
      <c r="A6" s="496" t="s">
        <v>810</v>
      </c>
      <c r="B6" s="1158">
        <f>+'Table 1'!B6:C6</f>
        <v>0</v>
      </c>
      <c r="C6" s="1159"/>
      <c r="D6" s="496" t="s">
        <v>441</v>
      </c>
      <c r="E6" s="1160" t="s">
        <v>812</v>
      </c>
      <c r="F6" s="1161"/>
      <c r="G6" s="1161"/>
      <c r="H6" s="1161"/>
      <c r="I6" s="1162"/>
      <c r="J6" s="1013" t="s">
        <v>813</v>
      </c>
      <c r="K6" s="1204"/>
      <c r="L6" s="497">
        <v>4</v>
      </c>
      <c r="M6" s="1013" t="s">
        <v>814</v>
      </c>
      <c r="N6" s="1207"/>
      <c r="O6" s="1208"/>
      <c r="P6" s="1160" t="s">
        <v>442</v>
      </c>
      <c r="Q6" s="1161"/>
      <c r="R6" s="1161"/>
      <c r="S6" s="1162"/>
      <c r="AB6" s="1137"/>
      <c r="AC6" s="1137"/>
      <c r="AJ6" s="1137"/>
      <c r="AL6" s="1137"/>
      <c r="AM6" s="429"/>
      <c r="AN6" s="429"/>
      <c r="AO6" s="1137"/>
      <c r="AU6" s="1137"/>
      <c r="AV6" s="429"/>
      <c r="AW6" s="429"/>
      <c r="AX6" s="1137"/>
      <c r="AY6" s="429"/>
      <c r="AZ6" s="429"/>
      <c r="BA6" s="429"/>
      <c r="BB6" s="429"/>
      <c r="BC6" s="1137"/>
      <c r="BD6" s="429"/>
      <c r="BE6" s="429"/>
      <c r="BF6" s="429"/>
      <c r="BG6" s="429"/>
      <c r="BH6" s="429"/>
      <c r="BI6" s="1137"/>
      <c r="BJ6" s="429"/>
      <c r="BK6" s="429"/>
      <c r="BL6" s="429"/>
      <c r="BM6" s="429"/>
      <c r="BN6" s="1137"/>
      <c r="BT6" s="1137"/>
      <c r="BW6" s="1137"/>
      <c r="BX6" s="1137"/>
      <c r="BY6" s="1137"/>
      <c r="BZ6" s="491"/>
      <c r="CA6" s="431"/>
      <c r="DW6" s="441" t="str">
        <f>A6</f>
        <v>Contact</v>
      </c>
      <c r="DX6" s="442">
        <f>'Table 2'!AR6</f>
      </c>
      <c r="DY6" s="441" t="str">
        <f>D6</f>
        <v>Tel No</v>
      </c>
      <c r="DZ6" s="447">
        <f>'Table 2'!AT6</f>
      </c>
      <c r="EA6" s="448"/>
      <c r="EB6" s="449"/>
      <c r="EC6" s="441" t="str">
        <f>J6</f>
        <v>Version No.</v>
      </c>
      <c r="ED6" s="449">
        <f>'Table 2'!AX6</f>
      </c>
      <c r="EE6" s="65" t="str">
        <f>M6</f>
        <v>Completion Date</v>
      </c>
      <c r="EF6" s="67"/>
      <c r="EG6" s="450">
        <f>'Table 2'!BA6</f>
      </c>
      <c r="EO6" s="434">
        <f>IF(LEN(TRIM(DX6&amp;DZ6&amp;ED6&amp;EG6))&gt;0,1,0)</f>
        <v>0</v>
      </c>
      <c r="EY6" s="484"/>
    </row>
    <row r="7" spans="3:79" ht="12.75">
      <c r="C7" s="451"/>
      <c r="D7" s="451"/>
      <c r="AB7" s="1139"/>
      <c r="AC7" s="1139"/>
      <c r="AJ7" s="1139"/>
      <c r="AL7" s="1138"/>
      <c r="AM7" s="453"/>
      <c r="AN7" s="453"/>
      <c r="AO7" s="1138"/>
      <c r="AU7" s="1139"/>
      <c r="AV7" s="452"/>
      <c r="AW7" s="452"/>
      <c r="AX7" s="1138"/>
      <c r="AY7" s="452"/>
      <c r="AZ7" s="452"/>
      <c r="BA7" s="452"/>
      <c r="BB7" s="452"/>
      <c r="BC7" s="1138"/>
      <c r="BD7" s="453"/>
      <c r="BE7" s="453"/>
      <c r="BF7" s="453"/>
      <c r="BG7" s="453"/>
      <c r="BH7" s="453"/>
      <c r="BI7" s="1138"/>
      <c r="BJ7" s="453"/>
      <c r="BK7" s="453"/>
      <c r="BL7" s="453"/>
      <c r="BM7" s="453"/>
      <c r="BN7" s="1138"/>
      <c r="BT7" s="1139"/>
      <c r="BW7" s="1139"/>
      <c r="BX7" s="1138"/>
      <c r="BY7" s="1138"/>
      <c r="BZ7" s="491"/>
      <c r="CA7" s="431"/>
    </row>
    <row r="8" spans="3:79" s="27" customFormat="1" ht="30" customHeight="1">
      <c r="C8" s="1154" t="s">
        <v>443</v>
      </c>
      <c r="D8" s="1155"/>
      <c r="E8" s="1163" t="s">
        <v>601</v>
      </c>
      <c r="F8" s="1164"/>
      <c r="G8" s="1164"/>
      <c r="H8" s="1164"/>
      <c r="I8" s="1164"/>
      <c r="J8" s="1164"/>
      <c r="K8" s="1164"/>
      <c r="L8" s="1164"/>
      <c r="M8" s="1164"/>
      <c r="N8" s="1164"/>
      <c r="O8" s="1164"/>
      <c r="P8" s="1164"/>
      <c r="Q8" s="1164"/>
      <c r="R8" s="1164"/>
      <c r="S8" s="1164"/>
      <c r="T8" s="1164"/>
      <c r="U8" s="1164"/>
      <c r="V8" s="1164"/>
      <c r="W8" s="1164"/>
      <c r="X8" s="1164"/>
      <c r="Y8" s="1164"/>
      <c r="Z8" s="1164"/>
      <c r="AA8" s="1164"/>
      <c r="AB8" s="1164"/>
      <c r="AC8" s="1165"/>
      <c r="AD8" s="1183" t="s">
        <v>444</v>
      </c>
      <c r="AE8" s="1164"/>
      <c r="AF8" s="1164"/>
      <c r="AG8" s="1164"/>
      <c r="AH8" s="1164"/>
      <c r="AI8" s="1164"/>
      <c r="AJ8" s="1165"/>
      <c r="AK8" s="1184" t="s">
        <v>445</v>
      </c>
      <c r="AL8" s="1185"/>
      <c r="AM8" s="1180" t="s">
        <v>446</v>
      </c>
      <c r="AN8" s="1181"/>
      <c r="AO8" s="1182"/>
      <c r="AP8" s="1175" t="s">
        <v>447</v>
      </c>
      <c r="AQ8" s="1176"/>
      <c r="AR8" s="1176"/>
      <c r="AS8" s="1176"/>
      <c r="AT8" s="1176"/>
      <c r="AU8" s="1165"/>
      <c r="AV8" s="1145" t="s">
        <v>448</v>
      </c>
      <c r="AW8" s="1146"/>
      <c r="AX8" s="1147"/>
      <c r="AY8" s="1141" t="s">
        <v>449</v>
      </c>
      <c r="AZ8" s="1142"/>
      <c r="BA8" s="1142"/>
      <c r="BB8" s="1142"/>
      <c r="BC8" s="1143"/>
      <c r="BD8" s="1186" t="s">
        <v>450</v>
      </c>
      <c r="BE8" s="1187"/>
      <c r="BF8" s="1187"/>
      <c r="BG8" s="1187"/>
      <c r="BH8" s="1187"/>
      <c r="BI8" s="1187"/>
      <c r="BJ8" s="1188" t="s">
        <v>451</v>
      </c>
      <c r="BK8" s="1189"/>
      <c r="BL8" s="1189"/>
      <c r="BM8" s="1189"/>
      <c r="BN8" s="1182"/>
      <c r="BO8" s="1190" t="s">
        <v>452</v>
      </c>
      <c r="BP8" s="1191"/>
      <c r="BQ8" s="1191"/>
      <c r="BR8" s="1191"/>
      <c r="BS8" s="1191"/>
      <c r="BT8" s="1192"/>
      <c r="BU8" s="1183" t="s">
        <v>391</v>
      </c>
      <c r="BV8" s="1164"/>
      <c r="BW8" s="1165"/>
      <c r="BX8" s="1211" t="s">
        <v>392</v>
      </c>
      <c r="BY8" s="1209" t="s">
        <v>393</v>
      </c>
      <c r="BZ8" s="1214" t="s">
        <v>394</v>
      </c>
      <c r="CA8" s="1217" t="s">
        <v>395</v>
      </c>
    </row>
    <row r="9" spans="3:79" s="27" customFormat="1" ht="16.5" customHeight="1">
      <c r="C9" s="1167" t="s">
        <v>453</v>
      </c>
      <c r="D9" s="1168"/>
      <c r="E9" s="1066" t="s">
        <v>454</v>
      </c>
      <c r="F9" s="1066" t="s">
        <v>455</v>
      </c>
      <c r="G9" s="457"/>
      <c r="H9" s="457"/>
      <c r="I9" s="1066" t="s">
        <v>90</v>
      </c>
      <c r="J9" s="457"/>
      <c r="K9" s="1066" t="s">
        <v>456</v>
      </c>
      <c r="L9" s="1066" t="s">
        <v>457</v>
      </c>
      <c r="M9" s="457"/>
      <c r="N9" s="1066" t="s">
        <v>458</v>
      </c>
      <c r="O9" s="1066" t="s">
        <v>459</v>
      </c>
      <c r="P9" s="1066" t="s">
        <v>460</v>
      </c>
      <c r="Q9" s="1066" t="s">
        <v>461</v>
      </c>
      <c r="R9" s="457"/>
      <c r="S9" s="1066" t="s">
        <v>462</v>
      </c>
      <c r="T9" s="1066" t="s">
        <v>463</v>
      </c>
      <c r="U9" s="1066" t="s">
        <v>464</v>
      </c>
      <c r="V9" s="457"/>
      <c r="W9" s="1066" t="s">
        <v>465</v>
      </c>
      <c r="X9" s="1066" t="s">
        <v>466</v>
      </c>
      <c r="Y9" s="457"/>
      <c r="Z9" s="1066" t="s">
        <v>467</v>
      </c>
      <c r="AA9" s="1066" t="s">
        <v>468</v>
      </c>
      <c r="AB9" s="1140" t="s">
        <v>469</v>
      </c>
      <c r="AC9" s="1140" t="s">
        <v>470</v>
      </c>
      <c r="AD9" s="1066" t="s">
        <v>471</v>
      </c>
      <c r="AE9" s="1067" t="s">
        <v>472</v>
      </c>
      <c r="AF9" s="1067"/>
      <c r="AG9" s="1197" t="s">
        <v>473</v>
      </c>
      <c r="AH9" s="1066" t="s">
        <v>474</v>
      </c>
      <c r="AI9" s="1066" t="s">
        <v>475</v>
      </c>
      <c r="AJ9" s="1140" t="s">
        <v>476</v>
      </c>
      <c r="AK9" s="1066" t="s">
        <v>477</v>
      </c>
      <c r="AL9" s="1140" t="s">
        <v>478</v>
      </c>
      <c r="AM9" s="1177"/>
      <c r="AN9" s="1177"/>
      <c r="AO9" s="1140" t="s">
        <v>479</v>
      </c>
      <c r="AP9" s="1130" t="s">
        <v>480</v>
      </c>
      <c r="AQ9" s="1130"/>
      <c r="AR9" s="1130"/>
      <c r="AS9" s="1130" t="s">
        <v>481</v>
      </c>
      <c r="AT9" s="1130"/>
      <c r="AU9" s="1140" t="s">
        <v>482</v>
      </c>
      <c r="AV9" s="979" t="s">
        <v>199</v>
      </c>
      <c r="AW9" s="979" t="s">
        <v>201</v>
      </c>
      <c r="AX9" s="1140" t="s">
        <v>448</v>
      </c>
      <c r="AY9" s="1128" t="s">
        <v>483</v>
      </c>
      <c r="AZ9" s="1128" t="s">
        <v>209</v>
      </c>
      <c r="BA9" s="1128" t="s">
        <v>484</v>
      </c>
      <c r="BB9" s="1128" t="s">
        <v>212</v>
      </c>
      <c r="BC9" s="1144" t="s">
        <v>485</v>
      </c>
      <c r="BD9" s="1128" t="s">
        <v>218</v>
      </c>
      <c r="BE9" s="1128" t="s">
        <v>219</v>
      </c>
      <c r="BF9" s="1128" t="s">
        <v>486</v>
      </c>
      <c r="BG9" s="1128" t="s">
        <v>222</v>
      </c>
      <c r="BH9" s="1128" t="s">
        <v>223</v>
      </c>
      <c r="BI9" s="1144" t="s">
        <v>404</v>
      </c>
      <c r="BJ9" s="979" t="s">
        <v>230</v>
      </c>
      <c r="BK9" s="979" t="s">
        <v>232</v>
      </c>
      <c r="BL9" s="979" t="s">
        <v>487</v>
      </c>
      <c r="BM9" s="979" t="s">
        <v>236</v>
      </c>
      <c r="BN9" s="1144" t="s">
        <v>488</v>
      </c>
      <c r="BO9" s="979" t="s">
        <v>264</v>
      </c>
      <c r="BP9" s="979" t="s">
        <v>256</v>
      </c>
      <c r="BQ9" s="979" t="s">
        <v>266</v>
      </c>
      <c r="BR9" s="979" t="s">
        <v>409</v>
      </c>
      <c r="BS9" s="979" t="s">
        <v>261</v>
      </c>
      <c r="BT9" s="1140" t="s">
        <v>489</v>
      </c>
      <c r="BU9" s="1066" t="s">
        <v>411</v>
      </c>
      <c r="BV9" s="1066" t="s">
        <v>50</v>
      </c>
      <c r="BW9" s="1140" t="s">
        <v>412</v>
      </c>
      <c r="BX9" s="1140"/>
      <c r="BY9" s="1210"/>
      <c r="BZ9" s="1215"/>
      <c r="CA9" s="1218"/>
    </row>
    <row r="10" spans="3:79" s="27" customFormat="1" ht="16.5" customHeight="1">
      <c r="C10" s="1169"/>
      <c r="D10" s="1170"/>
      <c r="E10" s="1066"/>
      <c r="F10" s="1066"/>
      <c r="G10" s="457"/>
      <c r="H10" s="457"/>
      <c r="I10" s="1066"/>
      <c r="J10" s="457"/>
      <c r="K10" s="1067"/>
      <c r="L10" s="1067"/>
      <c r="M10" s="458"/>
      <c r="N10" s="1067"/>
      <c r="O10" s="1067"/>
      <c r="P10" s="1067"/>
      <c r="Q10" s="1067"/>
      <c r="R10" s="458"/>
      <c r="S10" s="1067"/>
      <c r="T10" s="1067"/>
      <c r="U10" s="1067"/>
      <c r="V10" s="458"/>
      <c r="W10" s="1067"/>
      <c r="X10" s="1067"/>
      <c r="Y10" s="457"/>
      <c r="Z10" s="1066"/>
      <c r="AA10" s="1066"/>
      <c r="AB10" s="1140"/>
      <c r="AC10" s="1140"/>
      <c r="AD10" s="1066"/>
      <c r="AE10" s="1130"/>
      <c r="AF10" s="1130"/>
      <c r="AG10" s="1197"/>
      <c r="AH10" s="1066"/>
      <c r="AI10" s="1066"/>
      <c r="AJ10" s="1140"/>
      <c r="AK10" s="1066"/>
      <c r="AL10" s="1140"/>
      <c r="AM10" s="1178"/>
      <c r="AN10" s="1178"/>
      <c r="AO10" s="1140"/>
      <c r="AP10" s="1130"/>
      <c r="AQ10" s="1130"/>
      <c r="AR10" s="1130"/>
      <c r="AS10" s="1130"/>
      <c r="AT10" s="1130"/>
      <c r="AU10" s="1140"/>
      <c r="AV10" s="979"/>
      <c r="AW10" s="979"/>
      <c r="AX10" s="1140"/>
      <c r="AY10" s="1128"/>
      <c r="AZ10" s="1128"/>
      <c r="BA10" s="1128"/>
      <c r="BB10" s="1128"/>
      <c r="BC10" s="1140"/>
      <c r="BD10" s="1128"/>
      <c r="BE10" s="1128"/>
      <c r="BF10" s="1128"/>
      <c r="BG10" s="1128"/>
      <c r="BH10" s="1128"/>
      <c r="BI10" s="1140"/>
      <c r="BJ10" s="979"/>
      <c r="BK10" s="979"/>
      <c r="BL10" s="979"/>
      <c r="BM10" s="979"/>
      <c r="BN10" s="1140"/>
      <c r="BO10" s="979"/>
      <c r="BP10" s="979"/>
      <c r="BQ10" s="979"/>
      <c r="BR10" s="979"/>
      <c r="BS10" s="979"/>
      <c r="BT10" s="1140"/>
      <c r="BU10" s="1066"/>
      <c r="BV10" s="1066"/>
      <c r="BW10" s="1140"/>
      <c r="BX10" s="1140"/>
      <c r="BY10" s="1210"/>
      <c r="BZ10" s="1215"/>
      <c r="CA10" s="1218"/>
    </row>
    <row r="11" spans="3:79" s="27" customFormat="1" ht="16.5" customHeight="1">
      <c r="C11" s="1169"/>
      <c r="D11" s="1170"/>
      <c r="E11" s="1066"/>
      <c r="F11" s="1066"/>
      <c r="G11" s="457"/>
      <c r="H11" s="457"/>
      <c r="I11" s="1066"/>
      <c r="J11" s="498"/>
      <c r="K11" s="1148" t="s">
        <v>79</v>
      </c>
      <c r="L11" s="1150"/>
      <c r="M11" s="499"/>
      <c r="N11" s="1148" t="s">
        <v>80</v>
      </c>
      <c r="O11" s="1149"/>
      <c r="P11" s="1149"/>
      <c r="Q11" s="1150"/>
      <c r="R11" s="499"/>
      <c r="S11" s="1148" t="s">
        <v>81</v>
      </c>
      <c r="T11" s="1149"/>
      <c r="U11" s="1150"/>
      <c r="V11" s="499"/>
      <c r="W11" s="1148" t="s">
        <v>82</v>
      </c>
      <c r="X11" s="1150"/>
      <c r="Y11" s="456"/>
      <c r="Z11" s="1066"/>
      <c r="AA11" s="1066"/>
      <c r="AB11" s="1140"/>
      <c r="AC11" s="1140"/>
      <c r="AD11" s="1066"/>
      <c r="AE11" s="1130" t="s">
        <v>490</v>
      </c>
      <c r="AF11" s="1130" t="s">
        <v>491</v>
      </c>
      <c r="AG11" s="1197"/>
      <c r="AH11" s="1066"/>
      <c r="AI11" s="1066"/>
      <c r="AJ11" s="1140"/>
      <c r="AK11" s="1066"/>
      <c r="AL11" s="1140"/>
      <c r="AM11" s="1178"/>
      <c r="AN11" s="1178"/>
      <c r="AO11" s="1140"/>
      <c r="AP11" s="1128" t="s">
        <v>492</v>
      </c>
      <c r="AQ11" s="1128" t="s">
        <v>493</v>
      </c>
      <c r="AR11" s="1128" t="s">
        <v>494</v>
      </c>
      <c r="AS11" s="1130" t="s">
        <v>492</v>
      </c>
      <c r="AT11" s="1128" t="s">
        <v>495</v>
      </c>
      <c r="AU11" s="1140"/>
      <c r="AV11" s="979"/>
      <c r="AW11" s="979"/>
      <c r="AX11" s="1140"/>
      <c r="AY11" s="1128"/>
      <c r="AZ11" s="1128"/>
      <c r="BA11" s="1128"/>
      <c r="BB11" s="1128"/>
      <c r="BC11" s="1140"/>
      <c r="BD11" s="1128"/>
      <c r="BE11" s="1128"/>
      <c r="BF11" s="1128"/>
      <c r="BG11" s="1128"/>
      <c r="BH11" s="1128"/>
      <c r="BI11" s="1140"/>
      <c r="BJ11" s="979"/>
      <c r="BK11" s="979"/>
      <c r="BL11" s="979"/>
      <c r="BM11" s="979"/>
      <c r="BN11" s="1140"/>
      <c r="BO11" s="979"/>
      <c r="BP11" s="979"/>
      <c r="BQ11" s="979"/>
      <c r="BR11" s="979"/>
      <c r="BS11" s="979"/>
      <c r="BT11" s="1140"/>
      <c r="BU11" s="1066"/>
      <c r="BV11" s="1066"/>
      <c r="BW11" s="1140"/>
      <c r="BX11" s="1140"/>
      <c r="BY11" s="1210"/>
      <c r="BZ11" s="1215"/>
      <c r="CA11" s="1218"/>
    </row>
    <row r="12" spans="3:79" s="27" customFormat="1" ht="16.5" customHeight="1">
      <c r="C12" s="1169"/>
      <c r="D12" s="1170"/>
      <c r="E12" s="1066"/>
      <c r="F12" s="1066"/>
      <c r="G12" s="457"/>
      <c r="H12" s="457"/>
      <c r="I12" s="1066"/>
      <c r="J12" s="498"/>
      <c r="K12" s="1148"/>
      <c r="L12" s="1150"/>
      <c r="M12" s="499"/>
      <c r="N12" s="1148"/>
      <c r="O12" s="1149"/>
      <c r="P12" s="1149"/>
      <c r="Q12" s="1150"/>
      <c r="R12" s="499"/>
      <c r="S12" s="1148"/>
      <c r="T12" s="1149"/>
      <c r="U12" s="1150"/>
      <c r="V12" s="499"/>
      <c r="W12" s="1148"/>
      <c r="X12" s="1150"/>
      <c r="Y12" s="456"/>
      <c r="Z12" s="1066"/>
      <c r="AA12" s="1066"/>
      <c r="AB12" s="1140"/>
      <c r="AC12" s="1140"/>
      <c r="AD12" s="1066"/>
      <c r="AE12" s="1130"/>
      <c r="AF12" s="1130"/>
      <c r="AG12" s="1197"/>
      <c r="AH12" s="1066"/>
      <c r="AI12" s="1066"/>
      <c r="AJ12" s="1140"/>
      <c r="AK12" s="1066"/>
      <c r="AL12" s="1140"/>
      <c r="AM12" s="1178"/>
      <c r="AN12" s="1178"/>
      <c r="AO12" s="1140"/>
      <c r="AP12" s="1128"/>
      <c r="AQ12" s="1128"/>
      <c r="AR12" s="1128"/>
      <c r="AS12" s="1130"/>
      <c r="AT12" s="1128"/>
      <c r="AU12" s="1140"/>
      <c r="AV12" s="979"/>
      <c r="AW12" s="979"/>
      <c r="AX12" s="1140"/>
      <c r="AY12" s="1128"/>
      <c r="AZ12" s="1128"/>
      <c r="BA12" s="1128"/>
      <c r="BB12" s="1128"/>
      <c r="BC12" s="1140"/>
      <c r="BD12" s="1128"/>
      <c r="BE12" s="1128"/>
      <c r="BF12" s="1128"/>
      <c r="BG12" s="1128"/>
      <c r="BH12" s="1128"/>
      <c r="BI12" s="1140"/>
      <c r="BJ12" s="979"/>
      <c r="BK12" s="979"/>
      <c r="BL12" s="979"/>
      <c r="BM12" s="979"/>
      <c r="BN12" s="1140"/>
      <c r="BO12" s="979"/>
      <c r="BP12" s="979"/>
      <c r="BQ12" s="979"/>
      <c r="BR12" s="979"/>
      <c r="BS12" s="979"/>
      <c r="BT12" s="1140"/>
      <c r="BU12" s="1066"/>
      <c r="BV12" s="1066"/>
      <c r="BW12" s="1140"/>
      <c r="BX12" s="1140"/>
      <c r="BY12" s="1210"/>
      <c r="BZ12" s="1215"/>
      <c r="CA12" s="1218"/>
    </row>
    <row r="13" spans="3:80" s="27" customFormat="1" ht="42.75" customHeight="1">
      <c r="C13" s="1169"/>
      <c r="D13" s="1170"/>
      <c r="E13" s="1066"/>
      <c r="F13" s="1066"/>
      <c r="G13" s="457"/>
      <c r="H13" s="457"/>
      <c r="I13" s="1066"/>
      <c r="J13" s="498"/>
      <c r="K13" s="1151"/>
      <c r="L13" s="1153"/>
      <c r="M13" s="501"/>
      <c r="N13" s="1151"/>
      <c r="O13" s="1152"/>
      <c r="P13" s="1152"/>
      <c r="Q13" s="1153"/>
      <c r="R13" s="501"/>
      <c r="S13" s="1151"/>
      <c r="T13" s="1152"/>
      <c r="U13" s="1153"/>
      <c r="V13" s="501"/>
      <c r="W13" s="1151"/>
      <c r="X13" s="1153"/>
      <c r="Y13" s="500"/>
      <c r="Z13" s="1067"/>
      <c r="AA13" s="1067"/>
      <c r="AB13" s="1140"/>
      <c r="AC13" s="1140"/>
      <c r="AD13" s="1067"/>
      <c r="AE13" s="1130"/>
      <c r="AF13" s="1130"/>
      <c r="AG13" s="1198"/>
      <c r="AH13" s="1067"/>
      <c r="AI13" s="1067"/>
      <c r="AJ13" s="1140"/>
      <c r="AK13" s="1067"/>
      <c r="AL13" s="1140"/>
      <c r="AM13" s="1179"/>
      <c r="AN13" s="1179"/>
      <c r="AO13" s="1140"/>
      <c r="AP13" s="1128"/>
      <c r="AQ13" s="1128"/>
      <c r="AR13" s="1128"/>
      <c r="AS13" s="1130"/>
      <c r="AT13" s="1128"/>
      <c r="AU13" s="1140"/>
      <c r="AV13" s="980"/>
      <c r="AW13" s="980"/>
      <c r="AX13" s="1140"/>
      <c r="AY13" s="1128"/>
      <c r="AZ13" s="1128"/>
      <c r="BA13" s="1128"/>
      <c r="BB13" s="1128"/>
      <c r="BC13" s="1140"/>
      <c r="BD13" s="1128"/>
      <c r="BE13" s="1128"/>
      <c r="BF13" s="1128"/>
      <c r="BG13" s="1128"/>
      <c r="BH13" s="1128"/>
      <c r="BI13" s="1140"/>
      <c r="BJ13" s="980"/>
      <c r="BK13" s="980"/>
      <c r="BL13" s="980"/>
      <c r="BM13" s="980"/>
      <c r="BN13" s="1140"/>
      <c r="BO13" s="980"/>
      <c r="BP13" s="980"/>
      <c r="BQ13" s="980"/>
      <c r="BR13" s="980"/>
      <c r="BS13" s="980"/>
      <c r="BT13" s="1140"/>
      <c r="BU13" s="1067"/>
      <c r="BV13" s="1067"/>
      <c r="BW13" s="1140"/>
      <c r="BX13" s="1140"/>
      <c r="BY13" s="1210"/>
      <c r="BZ13" s="1215"/>
      <c r="CA13" s="1218"/>
      <c r="CB13" s="502"/>
    </row>
    <row r="14" spans="3:79" s="27" customFormat="1" ht="14.25" customHeight="1">
      <c r="C14" s="1171" t="s">
        <v>496</v>
      </c>
      <c r="D14" s="1172"/>
      <c r="E14" s="503"/>
      <c r="F14" s="503"/>
      <c r="G14" s="503"/>
      <c r="H14" s="503"/>
      <c r="I14" s="504"/>
      <c r="J14" s="504"/>
      <c r="K14" s="504"/>
      <c r="L14" s="504"/>
      <c r="M14" s="504"/>
      <c r="N14" s="504"/>
      <c r="O14" s="504"/>
      <c r="P14" s="504"/>
      <c r="Q14" s="504"/>
      <c r="R14" s="504"/>
      <c r="S14" s="504"/>
      <c r="T14" s="504"/>
      <c r="U14" s="504"/>
      <c r="V14" s="504"/>
      <c r="W14" s="504"/>
      <c r="X14" s="504"/>
      <c r="Y14" s="504"/>
      <c r="Z14" s="504"/>
      <c r="AA14" s="504"/>
      <c r="AB14" s="1140"/>
      <c r="AC14" s="1140"/>
      <c r="AD14" s="505"/>
      <c r="AE14" s="505"/>
      <c r="AF14" s="505"/>
      <c r="AG14" s="464"/>
      <c r="AH14" s="464"/>
      <c r="AI14" s="505"/>
      <c r="AJ14" s="1140"/>
      <c r="AK14" s="464"/>
      <c r="AL14" s="1140"/>
      <c r="AM14" s="506"/>
      <c r="AN14" s="506"/>
      <c r="AO14" s="1140"/>
      <c r="AP14" s="505"/>
      <c r="AQ14" s="505"/>
      <c r="AR14" s="505"/>
      <c r="AS14" s="505"/>
      <c r="AT14" s="507"/>
      <c r="AU14" s="1140"/>
      <c r="AV14" s="506"/>
      <c r="AW14" s="506"/>
      <c r="AX14" s="1140"/>
      <c r="AY14" s="508"/>
      <c r="AZ14" s="508"/>
      <c r="BA14" s="508"/>
      <c r="BB14" s="508"/>
      <c r="BC14" s="1140"/>
      <c r="BD14" s="509"/>
      <c r="BE14" s="509"/>
      <c r="BF14" s="509"/>
      <c r="BG14" s="509"/>
      <c r="BH14" s="509"/>
      <c r="BI14" s="1140"/>
      <c r="BJ14" s="510"/>
      <c r="BK14" s="510"/>
      <c r="BL14" s="510"/>
      <c r="BM14" s="510"/>
      <c r="BN14" s="1140"/>
      <c r="BO14" s="505"/>
      <c r="BP14" s="505"/>
      <c r="BQ14" s="505"/>
      <c r="BR14" s="505"/>
      <c r="BS14" s="505"/>
      <c r="BT14" s="1140"/>
      <c r="BU14" s="464"/>
      <c r="BV14" s="464"/>
      <c r="BW14" s="1140"/>
      <c r="BX14" s="1140"/>
      <c r="BY14" s="1210"/>
      <c r="BZ14" s="1215"/>
      <c r="CA14" s="1218"/>
    </row>
    <row r="15" spans="1:79" s="27" customFormat="1" ht="14.25" customHeight="1">
      <c r="A15" s="1065" t="s">
        <v>497</v>
      </c>
      <c r="B15" s="1065" t="s">
        <v>413</v>
      </c>
      <c r="C15" s="1173" t="s">
        <v>498</v>
      </c>
      <c r="D15" s="1172"/>
      <c r="E15" s="503"/>
      <c r="F15" s="503">
        <v>173.22</v>
      </c>
      <c r="G15" s="503"/>
      <c r="H15" s="503"/>
      <c r="I15" s="511">
        <v>2786.7</v>
      </c>
      <c r="J15" s="503"/>
      <c r="K15" s="511">
        <v>2200.73</v>
      </c>
      <c r="L15" s="511">
        <v>2200.73</v>
      </c>
      <c r="M15" s="503"/>
      <c r="N15" s="511">
        <v>2225.33</v>
      </c>
      <c r="O15" s="511">
        <v>2146.57</v>
      </c>
      <c r="P15" s="511">
        <v>2146.57</v>
      </c>
      <c r="Q15" s="511">
        <v>2146.57</v>
      </c>
      <c r="R15" s="503"/>
      <c r="S15" s="503"/>
      <c r="T15" s="503"/>
      <c r="U15" s="503"/>
      <c r="V15" s="503"/>
      <c r="W15" s="503"/>
      <c r="X15" s="503"/>
      <c r="Y15" s="503"/>
      <c r="Z15" s="504"/>
      <c r="AA15" s="504"/>
      <c r="AB15" s="1140"/>
      <c r="AC15" s="1140"/>
      <c r="AD15" s="512" t="s">
        <v>499</v>
      </c>
      <c r="AE15" s="505"/>
      <c r="AF15" s="513">
        <v>1179.99</v>
      </c>
      <c r="AG15" s="464"/>
      <c r="AH15" s="464"/>
      <c r="AI15" s="505"/>
      <c r="AJ15" s="1140"/>
      <c r="AK15" s="464"/>
      <c r="AL15" s="1140"/>
      <c r="AM15" s="506"/>
      <c r="AN15" s="506"/>
      <c r="AO15" s="1140"/>
      <c r="AP15" s="512" t="s">
        <v>500</v>
      </c>
      <c r="AQ15" s="512" t="s">
        <v>500</v>
      </c>
      <c r="AR15" s="512" t="s">
        <v>500</v>
      </c>
      <c r="AS15" s="505"/>
      <c r="AT15" s="512" t="s">
        <v>355</v>
      </c>
      <c r="AU15" s="1140"/>
      <c r="AV15" s="506" t="s">
        <v>501</v>
      </c>
      <c r="AW15" s="514">
        <v>3265</v>
      </c>
      <c r="AX15" s="1140"/>
      <c r="AY15" s="512" t="s">
        <v>500</v>
      </c>
      <c r="AZ15" s="515">
        <v>133.85</v>
      </c>
      <c r="BA15" s="515">
        <v>99.83</v>
      </c>
      <c r="BB15" s="508">
        <v>0</v>
      </c>
      <c r="BC15" s="1140"/>
      <c r="BD15" s="516">
        <v>24.39</v>
      </c>
      <c r="BE15" s="517">
        <v>352.96</v>
      </c>
      <c r="BF15" s="518">
        <v>6833</v>
      </c>
      <c r="BG15" s="517">
        <v>199.1</v>
      </c>
      <c r="BH15" s="517">
        <v>153.22</v>
      </c>
      <c r="BI15" s="1140"/>
      <c r="BJ15" s="519" t="s">
        <v>502</v>
      </c>
      <c r="BK15" s="519" t="s">
        <v>502</v>
      </c>
      <c r="BL15" s="520">
        <v>28.32</v>
      </c>
      <c r="BM15" s="520">
        <v>23.8</v>
      </c>
      <c r="BN15" s="1140"/>
      <c r="BO15" s="521" t="s">
        <v>503</v>
      </c>
      <c r="BP15" s="505"/>
      <c r="BQ15" s="505"/>
      <c r="BR15" s="513">
        <v>4.71</v>
      </c>
      <c r="BS15" s="512" t="s">
        <v>257</v>
      </c>
      <c r="BT15" s="1140"/>
      <c r="BU15" s="464"/>
      <c r="BV15" s="464"/>
      <c r="BW15" s="1140"/>
      <c r="BX15" s="1140"/>
      <c r="BY15" s="1210"/>
      <c r="BZ15" s="1215"/>
      <c r="CA15" s="1218"/>
    </row>
    <row r="16" spans="1:127" s="27" customFormat="1" ht="14.25" customHeight="1">
      <c r="A16" s="1066"/>
      <c r="B16" s="1066"/>
      <c r="C16" s="1173" t="s">
        <v>504</v>
      </c>
      <c r="D16" s="1172"/>
      <c r="E16" s="522"/>
      <c r="F16" s="522"/>
      <c r="G16" s="522"/>
      <c r="H16" s="522"/>
      <c r="I16" s="522"/>
      <c r="J16" s="522"/>
      <c r="K16" s="522"/>
      <c r="L16" s="522"/>
      <c r="M16" s="522"/>
      <c r="N16" s="503"/>
      <c r="O16" s="503"/>
      <c r="P16" s="503"/>
      <c r="Q16" s="503"/>
      <c r="R16" s="503"/>
      <c r="S16" s="511">
        <v>2808.91</v>
      </c>
      <c r="T16" s="511">
        <v>2808.91</v>
      </c>
      <c r="U16" s="511">
        <v>2808.91</v>
      </c>
      <c r="V16" s="503"/>
      <c r="W16" s="511">
        <v>3233.33</v>
      </c>
      <c r="X16" s="511">
        <v>3477.89</v>
      </c>
      <c r="Y16" s="503"/>
      <c r="Z16" s="511">
        <f>+X16</f>
        <v>3477.89</v>
      </c>
      <c r="AA16" s="504"/>
      <c r="AB16" s="1140"/>
      <c r="AC16" s="1140"/>
      <c r="AD16" s="464"/>
      <c r="AE16" s="464"/>
      <c r="AF16" s="464"/>
      <c r="AG16" s="505"/>
      <c r="AH16" s="505"/>
      <c r="AI16" s="505"/>
      <c r="AJ16" s="1140"/>
      <c r="AK16" s="464"/>
      <c r="AL16" s="1140"/>
      <c r="AM16" s="506"/>
      <c r="AN16" s="506"/>
      <c r="AO16" s="1140"/>
      <c r="AP16" s="512" t="s">
        <v>500</v>
      </c>
      <c r="AQ16" s="512" t="s">
        <v>500</v>
      </c>
      <c r="AR16" s="512" t="s">
        <v>500</v>
      </c>
      <c r="AS16" s="505"/>
      <c r="AT16" s="512" t="s">
        <v>355</v>
      </c>
      <c r="AU16" s="1140"/>
      <c r="AV16" s="506" t="s">
        <v>501</v>
      </c>
      <c r="AW16" s="514">
        <v>9112</v>
      </c>
      <c r="AX16" s="1140"/>
      <c r="AY16" s="512" t="s">
        <v>500</v>
      </c>
      <c r="AZ16" s="515">
        <v>273.2</v>
      </c>
      <c r="BA16" s="515">
        <v>195.37</v>
      </c>
      <c r="BB16" s="523">
        <v>17803</v>
      </c>
      <c r="BC16" s="1140"/>
      <c r="BD16" s="509"/>
      <c r="BE16" s="517">
        <v>373.38</v>
      </c>
      <c r="BF16" s="518">
        <v>6833</v>
      </c>
      <c r="BG16" s="517">
        <v>199.1</v>
      </c>
      <c r="BH16" s="517">
        <v>150.24</v>
      </c>
      <c r="BI16" s="1140"/>
      <c r="BJ16" s="519" t="s">
        <v>502</v>
      </c>
      <c r="BK16" s="519" t="s">
        <v>502</v>
      </c>
      <c r="BL16" s="520">
        <v>25.18</v>
      </c>
      <c r="BM16" s="520">
        <v>15.01</v>
      </c>
      <c r="BN16" s="1140"/>
      <c r="BO16" s="524">
        <v>223235</v>
      </c>
      <c r="BP16" s="505">
        <v>0</v>
      </c>
      <c r="BQ16" s="525">
        <v>7.28</v>
      </c>
      <c r="BR16" s="513">
        <v>4.71</v>
      </c>
      <c r="BS16" s="512" t="s">
        <v>257</v>
      </c>
      <c r="BT16" s="1140"/>
      <c r="BU16" s="464"/>
      <c r="BV16" s="464"/>
      <c r="BW16" s="1140"/>
      <c r="BX16" s="1140"/>
      <c r="BY16" s="1210"/>
      <c r="BZ16" s="1215"/>
      <c r="CA16" s="1218"/>
      <c r="DW16" s="1177" t="s">
        <v>505</v>
      </c>
    </row>
    <row r="17" spans="1:127" s="27" customFormat="1" ht="17.25" customHeight="1">
      <c r="A17" s="1066"/>
      <c r="B17" s="1066"/>
      <c r="C17" s="1134" t="s">
        <v>416</v>
      </c>
      <c r="D17" s="978" t="s">
        <v>417</v>
      </c>
      <c r="E17" s="1134" t="s">
        <v>506</v>
      </c>
      <c r="F17" s="1134" t="s">
        <v>506</v>
      </c>
      <c r="G17" s="1134" t="s">
        <v>506</v>
      </c>
      <c r="H17" s="1134" t="s">
        <v>506</v>
      </c>
      <c r="I17" s="1134" t="s">
        <v>506</v>
      </c>
      <c r="J17" s="1134" t="s">
        <v>506</v>
      </c>
      <c r="K17" s="1134" t="s">
        <v>506</v>
      </c>
      <c r="L17" s="1134" t="s">
        <v>506</v>
      </c>
      <c r="M17" s="1134" t="s">
        <v>506</v>
      </c>
      <c r="N17" s="1134" t="s">
        <v>506</v>
      </c>
      <c r="O17" s="1134" t="s">
        <v>506</v>
      </c>
      <c r="P17" s="1134" t="s">
        <v>506</v>
      </c>
      <c r="Q17" s="1134" t="s">
        <v>506</v>
      </c>
      <c r="R17" s="1134" t="s">
        <v>506</v>
      </c>
      <c r="S17" s="1134" t="s">
        <v>506</v>
      </c>
      <c r="T17" s="1134" t="s">
        <v>506</v>
      </c>
      <c r="U17" s="1134" t="s">
        <v>506</v>
      </c>
      <c r="V17" s="1134" t="s">
        <v>506</v>
      </c>
      <c r="W17" s="1134" t="s">
        <v>506</v>
      </c>
      <c r="X17" s="1134" t="s">
        <v>506</v>
      </c>
      <c r="Y17" s="1134" t="s">
        <v>506</v>
      </c>
      <c r="Z17" s="1134" t="s">
        <v>506</v>
      </c>
      <c r="AA17" s="1134" t="s">
        <v>506</v>
      </c>
      <c r="AB17" s="1066"/>
      <c r="AC17" s="1129" t="s">
        <v>419</v>
      </c>
      <c r="AD17" s="1126" t="s">
        <v>419</v>
      </c>
      <c r="AE17" s="1126" t="s">
        <v>419</v>
      </c>
      <c r="AF17" s="1126" t="s">
        <v>419</v>
      </c>
      <c r="AG17" s="1126" t="s">
        <v>419</v>
      </c>
      <c r="AH17" s="1126" t="s">
        <v>419</v>
      </c>
      <c r="AI17" s="1126" t="s">
        <v>419</v>
      </c>
      <c r="AJ17" s="1129" t="s">
        <v>419</v>
      </c>
      <c r="AK17" s="1126" t="s">
        <v>419</v>
      </c>
      <c r="AL17" s="1129" t="s">
        <v>419</v>
      </c>
      <c r="AM17" s="1126" t="s">
        <v>419</v>
      </c>
      <c r="AN17" s="1126" t="s">
        <v>419</v>
      </c>
      <c r="AO17" s="1066" t="s">
        <v>419</v>
      </c>
      <c r="AP17" s="1126" t="s">
        <v>419</v>
      </c>
      <c r="AQ17" s="1126" t="s">
        <v>419</v>
      </c>
      <c r="AR17" s="1126" t="s">
        <v>419</v>
      </c>
      <c r="AS17" s="1126" t="s">
        <v>419</v>
      </c>
      <c r="AT17" s="1126" t="s">
        <v>419</v>
      </c>
      <c r="AU17" s="1129" t="s">
        <v>419</v>
      </c>
      <c r="AV17" s="1126" t="s">
        <v>419</v>
      </c>
      <c r="AW17" s="1126" t="s">
        <v>419</v>
      </c>
      <c r="AX17" s="1066" t="s">
        <v>419</v>
      </c>
      <c r="AY17" s="1126" t="s">
        <v>419</v>
      </c>
      <c r="AZ17" s="1126" t="s">
        <v>419</v>
      </c>
      <c r="BA17" s="1126" t="s">
        <v>419</v>
      </c>
      <c r="BB17" s="1126" t="s">
        <v>419</v>
      </c>
      <c r="BC17" s="1129" t="s">
        <v>419</v>
      </c>
      <c r="BD17" s="1126" t="s">
        <v>419</v>
      </c>
      <c r="BE17" s="1126" t="s">
        <v>419</v>
      </c>
      <c r="BF17" s="1126" t="s">
        <v>419</v>
      </c>
      <c r="BG17" s="1126" t="s">
        <v>419</v>
      </c>
      <c r="BH17" s="1126" t="s">
        <v>419</v>
      </c>
      <c r="BI17" s="1066" t="s">
        <v>419</v>
      </c>
      <c r="BJ17" s="1126" t="s">
        <v>419</v>
      </c>
      <c r="BK17" s="1126" t="s">
        <v>419</v>
      </c>
      <c r="BL17" s="1126" t="s">
        <v>419</v>
      </c>
      <c r="BM17" s="1126" t="s">
        <v>419</v>
      </c>
      <c r="BN17" s="1193" t="s">
        <v>419</v>
      </c>
      <c r="BO17" s="1126" t="s">
        <v>419</v>
      </c>
      <c r="BP17" s="1126" t="s">
        <v>419</v>
      </c>
      <c r="BQ17" s="1126" t="s">
        <v>419</v>
      </c>
      <c r="BR17" s="1126" t="s">
        <v>419</v>
      </c>
      <c r="BS17" s="1126" t="s">
        <v>419</v>
      </c>
      <c r="BT17" s="1129" t="s">
        <v>419</v>
      </c>
      <c r="BU17" s="1126" t="s">
        <v>419</v>
      </c>
      <c r="BV17" s="1126" t="s">
        <v>419</v>
      </c>
      <c r="BW17" s="1129" t="s">
        <v>419</v>
      </c>
      <c r="BX17" s="1129" t="s">
        <v>419</v>
      </c>
      <c r="BY17" s="1129" t="s">
        <v>419</v>
      </c>
      <c r="BZ17" s="1215"/>
      <c r="CA17" s="1218"/>
      <c r="DW17" s="1212"/>
    </row>
    <row r="18" spans="1:144" s="27" customFormat="1" ht="17.25" customHeight="1">
      <c r="A18" s="1067"/>
      <c r="B18" s="1067"/>
      <c r="C18" s="1135"/>
      <c r="D18" s="980"/>
      <c r="E18" s="1135"/>
      <c r="F18" s="1135"/>
      <c r="G18" s="1135"/>
      <c r="H18" s="1135"/>
      <c r="I18" s="1135"/>
      <c r="J18" s="1135"/>
      <c r="K18" s="1135"/>
      <c r="L18" s="1135"/>
      <c r="M18" s="1135"/>
      <c r="N18" s="1135"/>
      <c r="O18" s="1135"/>
      <c r="P18" s="1135"/>
      <c r="Q18" s="1135"/>
      <c r="R18" s="1135"/>
      <c r="S18" s="1135"/>
      <c r="T18" s="1135"/>
      <c r="U18" s="1135"/>
      <c r="V18" s="1135"/>
      <c r="W18" s="1135"/>
      <c r="X18" s="1135"/>
      <c r="Y18" s="1135"/>
      <c r="Z18" s="1135"/>
      <c r="AA18" s="1135"/>
      <c r="AB18" s="1067"/>
      <c r="AC18" s="1127"/>
      <c r="AD18" s="1127"/>
      <c r="AE18" s="1127"/>
      <c r="AF18" s="1127"/>
      <c r="AG18" s="1127"/>
      <c r="AH18" s="1127"/>
      <c r="AI18" s="1127"/>
      <c r="AJ18" s="1127"/>
      <c r="AK18" s="1127"/>
      <c r="AL18" s="1127"/>
      <c r="AM18" s="1127"/>
      <c r="AN18" s="1127"/>
      <c r="AO18" s="1136"/>
      <c r="AP18" s="1127"/>
      <c r="AQ18" s="1127"/>
      <c r="AR18" s="1127"/>
      <c r="AS18" s="1127"/>
      <c r="AT18" s="1127"/>
      <c r="AU18" s="1127"/>
      <c r="AV18" s="1127"/>
      <c r="AW18" s="1127"/>
      <c r="AX18" s="1136"/>
      <c r="AY18" s="1127"/>
      <c r="AZ18" s="1127"/>
      <c r="BA18" s="1127"/>
      <c r="BB18" s="1127"/>
      <c r="BC18" s="1127"/>
      <c r="BD18" s="1127"/>
      <c r="BE18" s="1127"/>
      <c r="BF18" s="1127"/>
      <c r="BG18" s="1127"/>
      <c r="BH18" s="1127"/>
      <c r="BI18" s="1136"/>
      <c r="BJ18" s="1127"/>
      <c r="BK18" s="1127"/>
      <c r="BL18" s="1127"/>
      <c r="BM18" s="1127"/>
      <c r="BN18" s="1136"/>
      <c r="BO18" s="1127"/>
      <c r="BP18" s="1127"/>
      <c r="BQ18" s="1127"/>
      <c r="BR18" s="1127"/>
      <c r="BS18" s="1127"/>
      <c r="BT18" s="1127"/>
      <c r="BU18" s="1127"/>
      <c r="BV18" s="1127"/>
      <c r="BW18" s="1127"/>
      <c r="BX18" s="1127"/>
      <c r="BY18" s="1127"/>
      <c r="BZ18" s="1216"/>
      <c r="CA18" s="1219"/>
      <c r="DW18" s="1213"/>
      <c r="DX18" s="526" t="s">
        <v>420</v>
      </c>
      <c r="DY18" s="527" t="s">
        <v>421</v>
      </c>
      <c r="DZ18" s="527" t="s">
        <v>422</v>
      </c>
      <c r="EA18" s="527" t="s">
        <v>423</v>
      </c>
      <c r="EB18" s="527" t="s">
        <v>507</v>
      </c>
      <c r="EC18" s="527" t="s">
        <v>424</v>
      </c>
      <c r="ED18" s="527" t="s">
        <v>508</v>
      </c>
      <c r="EE18" s="527" t="s">
        <v>509</v>
      </c>
      <c r="EF18" s="527" t="s">
        <v>510</v>
      </c>
      <c r="EG18" s="527" t="s">
        <v>425</v>
      </c>
      <c r="EH18" s="527" t="s">
        <v>426</v>
      </c>
      <c r="EI18" s="527" t="s">
        <v>427</v>
      </c>
      <c r="EJ18" s="527" t="s">
        <v>428</v>
      </c>
      <c r="EK18" s="527" t="s">
        <v>429</v>
      </c>
      <c r="EL18" s="527" t="s">
        <v>430</v>
      </c>
      <c r="EM18" s="527" t="s">
        <v>431</v>
      </c>
      <c r="EN18" s="527" t="s">
        <v>511</v>
      </c>
    </row>
    <row r="19" ht="12.75" customHeight="1" hidden="1"/>
    <row r="20" spans="3:144" ht="12.75" customHeight="1">
      <c r="C20" s="1174" t="s">
        <v>85</v>
      </c>
      <c r="D20" s="1174"/>
      <c r="DW20" s="528" t="str">
        <f>C20</f>
        <v>Nursery</v>
      </c>
      <c r="DX20" s="529"/>
      <c r="DY20" s="529"/>
      <c r="DZ20" s="529"/>
      <c r="EA20" s="529"/>
      <c r="EB20" s="529"/>
      <c r="EC20" s="529"/>
      <c r="ED20" s="529"/>
      <c r="EE20" s="529"/>
      <c r="EF20" s="529"/>
      <c r="EG20" s="529"/>
      <c r="EH20" s="529"/>
      <c r="EI20" s="529"/>
      <c r="EJ20" s="529"/>
      <c r="EK20" s="530"/>
      <c r="EL20" s="529"/>
      <c r="EM20" s="530"/>
      <c r="EN20" s="530"/>
    </row>
    <row r="21" spans="1:145" ht="12" customHeight="1">
      <c r="A21" s="507" t="s">
        <v>512</v>
      </c>
      <c r="B21" s="531"/>
      <c r="C21" s="531"/>
      <c r="D21" s="531"/>
      <c r="E21" s="532"/>
      <c r="F21" s="532"/>
      <c r="G21" s="533"/>
      <c r="H21" s="533"/>
      <c r="I21" s="534"/>
      <c r="J21" s="535"/>
      <c r="K21" s="535"/>
      <c r="L21" s="535"/>
      <c r="M21" s="535"/>
      <c r="N21" s="535"/>
      <c r="O21" s="535"/>
      <c r="P21" s="535"/>
      <c r="Q21" s="535"/>
      <c r="R21" s="535"/>
      <c r="S21" s="535"/>
      <c r="T21" s="535"/>
      <c r="U21" s="535"/>
      <c r="V21" s="535"/>
      <c r="W21" s="535"/>
      <c r="X21" s="535"/>
      <c r="Y21" s="535"/>
      <c r="Z21" s="535"/>
      <c r="AA21" s="536"/>
      <c r="AB21" s="532">
        <f>SUM(E21:H21)</f>
        <v>0</v>
      </c>
      <c r="AC21" s="537">
        <f>IF(ISERROR($E$14*E21),0,$E$14*E21)+IF(ISERROR($G$14*G21),0,$G$14*G21)+IF(ISERROR($F$14*F21),0,$F$14*F21)+IF(ISERROR($H$14*H21),0,$H$14*H21)</f>
        <v>0</v>
      </c>
      <c r="AD21" s="532"/>
      <c r="AE21" s="532"/>
      <c r="AF21" s="532"/>
      <c r="AG21" s="532"/>
      <c r="AH21" s="538"/>
      <c r="AI21" s="532"/>
      <c r="AJ21" s="532">
        <f>SUM(AD21:AI21)</f>
        <v>0</v>
      </c>
      <c r="AK21" s="539"/>
      <c r="AL21" s="540"/>
      <c r="AM21" s="541"/>
      <c r="AN21" s="541"/>
      <c r="AO21" s="542">
        <f>SUM(AM21:AN21)</f>
        <v>0</v>
      </c>
      <c r="AP21" s="532"/>
      <c r="AQ21" s="532"/>
      <c r="AR21" s="532"/>
      <c r="AS21" s="532"/>
      <c r="AT21" s="532"/>
      <c r="AU21" s="532">
        <f>SUM(AP21:AT21)</f>
        <v>0</v>
      </c>
      <c r="AV21" s="532"/>
      <c r="AW21" s="532"/>
      <c r="AX21" s="532">
        <f>SUM(AV21:AW21)</f>
        <v>0</v>
      </c>
      <c r="AY21" s="532"/>
      <c r="AZ21" s="532"/>
      <c r="BA21" s="532"/>
      <c r="BB21" s="532"/>
      <c r="BC21" s="532">
        <f>SUM(AY21:BB21)</f>
        <v>0</v>
      </c>
      <c r="BD21" s="532"/>
      <c r="BE21" s="532"/>
      <c r="BF21" s="532"/>
      <c r="BG21" s="532"/>
      <c r="BH21" s="532"/>
      <c r="BI21" s="532">
        <f>SUM(BD21:BH21)</f>
        <v>0</v>
      </c>
      <c r="BJ21" s="532"/>
      <c r="BK21" s="532"/>
      <c r="BL21" s="532"/>
      <c r="BM21" s="532"/>
      <c r="BN21" s="532">
        <f>SUM(BJ21:BM21)</f>
        <v>0</v>
      </c>
      <c r="BO21" s="532"/>
      <c r="BP21" s="532"/>
      <c r="BQ21" s="532"/>
      <c r="BR21" s="532"/>
      <c r="BS21" s="532"/>
      <c r="BT21" s="532">
        <f>SUM(BO21:BS21)</f>
        <v>0</v>
      </c>
      <c r="BU21" s="532"/>
      <c r="BV21" s="532"/>
      <c r="BW21" s="532">
        <f>SUM(BU21:BV21)</f>
        <v>0</v>
      </c>
      <c r="BX21" s="532"/>
      <c r="BY21" s="532">
        <f>IF(ISERROR(SUM(AC21,AJ21,AO21,AU21,AX21,BC21,BI21,BN21,BT21,BW21,BX21)),0,SUM(AC21,AJ21,AO21,AU21,AX21,BC21,BI21,BN21,BT21,BW21,BX21))</f>
        <v>0</v>
      </c>
      <c r="BZ21" s="543">
        <f>SUM(AC21:BX21)+AC21+BX21</f>
        <v>0</v>
      </c>
      <c r="CA21" s="441">
        <f>IF(ISERROR($E$14*E21),0,$E$14*E21)+IF(ISERROR($F$14*F21),0,$F$14*F21)+IF(ISERROR($G$14*G21),0,$G$14*G21)+IF(ISERROR($H$14*H21),0,$H$14*H21)</f>
        <v>0</v>
      </c>
      <c r="DW21" s="544">
        <f>'Table 2'!AR20</f>
      </c>
      <c r="DX21" s="544">
        <f>'Table 2'!AS20</f>
      </c>
      <c r="DY21" s="544">
        <f>'Table 2'!AT20</f>
      </c>
      <c r="DZ21" s="544">
        <f>'Table 2'!AU20</f>
      </c>
      <c r="EA21" s="544">
        <f>'Table 2'!AV20</f>
      </c>
      <c r="EB21" s="545"/>
      <c r="EC21" s="544">
        <f>'Table 2'!AX20</f>
      </c>
      <c r="ED21" s="544">
        <f>'Table 2'!AY20</f>
      </c>
      <c r="EE21" s="544">
        <f>'Table 2'!AZ20</f>
      </c>
      <c r="EF21" s="544">
        <f>'Table 2'!BA20</f>
      </c>
      <c r="EG21" s="544">
        <f>'Table 2'!BB20</f>
      </c>
      <c r="EH21" s="544">
        <f>'Table 2'!BC20</f>
      </c>
      <c r="EI21" s="544">
        <f>'Table 2'!BD20</f>
      </c>
      <c r="EJ21" s="544">
        <f>'Table 2'!BE20</f>
      </c>
      <c r="EK21" s="442">
        <f>'Table 2'!BF20</f>
      </c>
      <c r="EL21" s="544">
        <f>'Table 2'!BG20</f>
      </c>
      <c r="EM21" s="442">
        <f>'Table 2'!BH20</f>
      </c>
      <c r="EN21" s="546"/>
      <c r="EO21" s="434">
        <f>IF(LEN(TRIM(DW21&amp;DX21&amp;DY21&amp;DZ21&amp;EA21&amp;EB21&amp;EC21&amp;ED21&amp;EE21&amp;EF21&amp;EG21&amp;EH21&amp;EI21&amp;EJ21&amp;EK21&amp;EL21&amp;EM21&amp;EN21))&gt;0,1,0)</f>
        <v>0</v>
      </c>
    </row>
    <row r="22" spans="77:141" ht="13.5" thickBot="1">
      <c r="BY22" s="547"/>
      <c r="BZ22" s="66"/>
      <c r="CA22" s="66"/>
      <c r="DW22" s="432"/>
      <c r="EK22" s="432"/>
    </row>
    <row r="23" spans="3:145" ht="14.25" thickBot="1" thickTop="1">
      <c r="C23" s="1166" t="s">
        <v>513</v>
      </c>
      <c r="D23" s="1166"/>
      <c r="E23" s="549">
        <f>SUM(E21:E22)</f>
        <v>0</v>
      </c>
      <c r="F23" s="549">
        <f>SUM(F21:F22)</f>
        <v>0</v>
      </c>
      <c r="G23" s="549">
        <f>SUM(G21:G22)</f>
        <v>0</v>
      </c>
      <c r="H23" s="549">
        <f>SUM(H21:H22)</f>
        <v>0</v>
      </c>
      <c r="I23" s="550"/>
      <c r="J23" s="551"/>
      <c r="K23" s="551"/>
      <c r="L23" s="551"/>
      <c r="M23" s="551"/>
      <c r="N23" s="551"/>
      <c r="O23" s="551"/>
      <c r="P23" s="551"/>
      <c r="Q23" s="551"/>
      <c r="R23" s="551"/>
      <c r="S23" s="551"/>
      <c r="T23" s="551"/>
      <c r="U23" s="551"/>
      <c r="V23" s="551"/>
      <c r="W23" s="551"/>
      <c r="X23" s="551"/>
      <c r="Y23" s="551"/>
      <c r="Z23" s="551"/>
      <c r="AA23" s="552"/>
      <c r="AB23" s="549">
        <f aca="true" t="shared" si="0" ref="AB23:AG23">SUM(AB21:AB22)</f>
        <v>0</v>
      </c>
      <c r="AC23" s="549">
        <f t="shared" si="0"/>
        <v>0</v>
      </c>
      <c r="AD23" s="549">
        <f t="shared" si="0"/>
        <v>0</v>
      </c>
      <c r="AE23" s="549">
        <f t="shared" si="0"/>
        <v>0</v>
      </c>
      <c r="AF23" s="549">
        <f t="shared" si="0"/>
        <v>0</v>
      </c>
      <c r="AG23" s="549">
        <f t="shared" si="0"/>
        <v>0</v>
      </c>
      <c r="AH23" s="553"/>
      <c r="AI23" s="549">
        <f>SUM(AI21:AI22)</f>
        <v>0</v>
      </c>
      <c r="AJ23" s="549">
        <f>SUM(AJ21:AJ22)</f>
        <v>0</v>
      </c>
      <c r="AK23" s="554"/>
      <c r="AL23" s="555"/>
      <c r="AM23" s="556">
        <f aca="true" t="shared" si="1" ref="AM23:BY23">SUM(AM21:AM22)</f>
        <v>0</v>
      </c>
      <c r="AN23" s="556">
        <f t="shared" si="1"/>
        <v>0</v>
      </c>
      <c r="AO23" s="557">
        <f t="shared" si="1"/>
        <v>0</v>
      </c>
      <c r="AP23" s="549">
        <f t="shared" si="1"/>
        <v>0</v>
      </c>
      <c r="AQ23" s="549">
        <f t="shared" si="1"/>
        <v>0</v>
      </c>
      <c r="AR23" s="549">
        <f t="shared" si="1"/>
        <v>0</v>
      </c>
      <c r="AS23" s="549">
        <f t="shared" si="1"/>
        <v>0</v>
      </c>
      <c r="AT23" s="549">
        <f t="shared" si="1"/>
        <v>0</v>
      </c>
      <c r="AU23" s="549">
        <f t="shared" si="1"/>
        <v>0</v>
      </c>
      <c r="AV23" s="549">
        <f t="shared" si="1"/>
        <v>0</v>
      </c>
      <c r="AW23" s="549">
        <f t="shared" si="1"/>
        <v>0</v>
      </c>
      <c r="AX23" s="549">
        <f t="shared" si="1"/>
        <v>0</v>
      </c>
      <c r="AY23" s="549">
        <f t="shared" si="1"/>
        <v>0</v>
      </c>
      <c r="AZ23" s="549">
        <f>SUM(AZ21:AZ22)</f>
        <v>0</v>
      </c>
      <c r="BA23" s="549">
        <f>SUM(BA21:BA22)</f>
        <v>0</v>
      </c>
      <c r="BB23" s="549">
        <f t="shared" si="1"/>
        <v>0</v>
      </c>
      <c r="BC23" s="549">
        <f t="shared" si="1"/>
        <v>0</v>
      </c>
      <c r="BD23" s="549">
        <f t="shared" si="1"/>
        <v>0</v>
      </c>
      <c r="BE23" s="549">
        <f>SUM(BE21:BE22)</f>
        <v>0</v>
      </c>
      <c r="BF23" s="549">
        <f>SUM(BF21:BF22)</f>
        <v>0</v>
      </c>
      <c r="BG23" s="549">
        <f>SUM(BG21:BG22)</f>
        <v>0</v>
      </c>
      <c r="BH23" s="549">
        <f t="shared" si="1"/>
        <v>0</v>
      </c>
      <c r="BI23" s="549">
        <f t="shared" si="1"/>
        <v>0</v>
      </c>
      <c r="BJ23" s="549">
        <f t="shared" si="1"/>
        <v>0</v>
      </c>
      <c r="BK23" s="549"/>
      <c r="BL23" s="549"/>
      <c r="BM23" s="549">
        <f t="shared" si="1"/>
        <v>0</v>
      </c>
      <c r="BN23" s="549">
        <f t="shared" si="1"/>
        <v>0</v>
      </c>
      <c r="BO23" s="549">
        <f t="shared" si="1"/>
        <v>0</v>
      </c>
      <c r="BP23" s="549">
        <f>SUM(BP21:BP22)</f>
        <v>0</v>
      </c>
      <c r="BQ23" s="549">
        <f>SUM(BQ21:BQ22)</f>
        <v>0</v>
      </c>
      <c r="BR23" s="549">
        <f>SUM(BR21:BR22)</f>
        <v>0</v>
      </c>
      <c r="BS23" s="549">
        <f t="shared" si="1"/>
        <v>0</v>
      </c>
      <c r="BT23" s="549">
        <f t="shared" si="1"/>
        <v>0</v>
      </c>
      <c r="BU23" s="549">
        <f t="shared" si="1"/>
        <v>0</v>
      </c>
      <c r="BV23" s="549">
        <f t="shared" si="1"/>
        <v>0</v>
      </c>
      <c r="BW23" s="549">
        <f t="shared" si="1"/>
        <v>0</v>
      </c>
      <c r="BX23" s="549">
        <f t="shared" si="1"/>
        <v>0</v>
      </c>
      <c r="BY23" s="549">
        <f t="shared" si="1"/>
        <v>0</v>
      </c>
      <c r="BZ23" s="67"/>
      <c r="CA23" s="441"/>
      <c r="DW23" s="432" t="str">
        <f>C23</f>
        <v>Nursery Total</v>
      </c>
      <c r="DZ23" s="488">
        <f>'Table 2'!AU22</f>
        <v>0</v>
      </c>
      <c r="EA23" s="488">
        <f>'Table 2'!AV22</f>
        <v>0</v>
      </c>
      <c r="EB23" s="558"/>
      <c r="EC23" s="488">
        <f>'Table 2'!AX22</f>
        <v>0</v>
      </c>
      <c r="ED23" s="488">
        <f>'Table 2'!AY22</f>
        <v>0</v>
      </c>
      <c r="EE23" s="488">
        <f>'Table 2'!AZ22</f>
        <v>0</v>
      </c>
      <c r="EF23" s="488">
        <f>'Table 2'!BA22</f>
        <v>0</v>
      </c>
      <c r="EG23" s="488">
        <f>'Table 2'!BB22</f>
        <v>0</v>
      </c>
      <c r="EH23" s="488">
        <f>'Table 2'!BC22</f>
        <v>0</v>
      </c>
      <c r="EI23" s="488">
        <f>'Table 2'!BD22</f>
        <v>0</v>
      </c>
      <c r="EJ23" s="488">
        <f>'Table 2'!BE22</f>
        <v>0</v>
      </c>
      <c r="EK23" s="488">
        <f>'Table 2'!BF22</f>
        <v>0</v>
      </c>
      <c r="EL23" s="488">
        <f>'Table 2'!BG22</f>
        <v>0</v>
      </c>
      <c r="EM23" s="488">
        <f>'Table 2'!BH22</f>
        <v>0</v>
      </c>
      <c r="EN23" s="546"/>
      <c r="EO23" s="434">
        <f>IF(OR(LEFT(DZ23,1)="E",LEFT(EA23,1)="E",LEFT(EB23,1)="E",LEFT(EC23,1)="E",LEFT(ED23,1)="E",LEFT(EE23,1)="E",LEFT(EF23,1)="E",LEFT(EG23,1)="E",LEFT(EH23,1)="E",LEFT(EI23,1)="E",LEFT(EJ23,1)="E",LEFT(EK23,1)="E",LEFT(EL23,1)="E",LEFT(EM23,1)="E",LEFT(EN23,1)="E"),1,0)</f>
        <v>0</v>
      </c>
    </row>
    <row r="24" spans="77:141" ht="13.5" thickTop="1">
      <c r="BY24" s="559"/>
      <c r="DW24" s="432"/>
      <c r="EK24" s="432"/>
    </row>
    <row r="25" spans="3:141" ht="12.75">
      <c r="C25" s="1174" t="s">
        <v>164</v>
      </c>
      <c r="D25" s="1174"/>
      <c r="BY25" s="560"/>
      <c r="DW25" s="432" t="str">
        <f>C25</f>
        <v>Primary</v>
      </c>
      <c r="EK25" s="432"/>
    </row>
    <row r="26" spans="2:145" ht="12.75">
      <c r="B26" s="531">
        <v>7</v>
      </c>
      <c r="C26" s="531" t="s">
        <v>514</v>
      </c>
      <c r="D26" s="531">
        <v>2000</v>
      </c>
      <c r="E26" s="532"/>
      <c r="F26" s="532">
        <v>23.5</v>
      </c>
      <c r="G26" s="532"/>
      <c r="H26" s="532"/>
      <c r="I26" s="532">
        <v>60</v>
      </c>
      <c r="J26" s="532"/>
      <c r="K26" s="532">
        <v>60</v>
      </c>
      <c r="L26" s="532">
        <v>60</v>
      </c>
      <c r="M26" s="532"/>
      <c r="N26" s="532">
        <v>0</v>
      </c>
      <c r="O26" s="532">
        <v>0</v>
      </c>
      <c r="P26" s="532">
        <v>0</v>
      </c>
      <c r="Q26" s="532">
        <v>0</v>
      </c>
      <c r="R26" s="532"/>
      <c r="S26" s="532"/>
      <c r="T26" s="532"/>
      <c r="U26" s="532"/>
      <c r="V26" s="532"/>
      <c r="W26" s="532"/>
      <c r="X26" s="532"/>
      <c r="Y26" s="532"/>
      <c r="Z26" s="504"/>
      <c r="AA26" s="504"/>
      <c r="AB26" s="532">
        <f aca="true" t="shared" si="2" ref="AB26:AB57">SUM(E26:Y26)</f>
        <v>203.5</v>
      </c>
      <c r="AC26" s="532">
        <f aca="true" t="shared" si="3" ref="AC26:AC57">IF(ISERROR($E$15*E26),0,$E$15*E26)+IF(ISERROR($F$15*F26),0,$F$15*F26)+IF(ISERROR($G$15*G26),0,$G$15*G26)+IF(ISERROR($H$15*H26),0,$H$15*H26)+IF(ISERROR($I$15*I26),0,$I$15*I26)+IF(ISERROR($J$15*J26),0,$J$15*J26)+IF(ISERROR($K$15*K26),0,$K$15*K26)+IF(ISERROR($L$15*L26),0,$L$15*L26)+IF(ISERROR($M$15*M26),0,$M$15*M26)+IF(ISERROR($N$15*N26),0,$N$15*N26)+IF(ISERROR($O$15*O26),0,$O$15*O26)+IF(ISERROR($P$15*P26),0,$P$15*P26)+IF(ISERROR($Q$15*Q26),0,$Q$15*Q26)+IF(ISERROR($R$15*R26),0,$R$15*R26)+IF(ISERROR($S$15*S26),0,$S$15*S26)+IF(ISERROR($T$15*T26),0,$T$15*T26)+IF(ISERROR($U$15*U26),0,$U$15*U26)+IF(ISERROR($V$15*V26),0,$V$15*V26)+IF(ISERROR($W$15*W26),0,$W$15*W26)+IF(ISERROR($X$15*X26),0,$X$15*X26)+IF(ISERROR($Y$15*Y26),0,$Y$15*Y26)</f>
        <v>435360.26999999996</v>
      </c>
      <c r="AD26" s="532">
        <v>74268</v>
      </c>
      <c r="AE26" s="532"/>
      <c r="AF26" s="532">
        <v>0</v>
      </c>
      <c r="AG26" s="532"/>
      <c r="AH26" s="561"/>
      <c r="AI26" s="532"/>
      <c r="AJ26" s="532">
        <f aca="true" t="shared" si="4" ref="AJ26:AJ57">SUM(AD26:AI26)</f>
        <v>74268</v>
      </c>
      <c r="AK26" s="539"/>
      <c r="AL26" s="540"/>
      <c r="AM26" s="562"/>
      <c r="AN26" s="562"/>
      <c r="AO26" s="542">
        <f aca="true" t="shared" si="5" ref="AO26:AO57">SUM(AM26:AN26)</f>
        <v>0</v>
      </c>
      <c r="AP26" s="532">
        <v>10880</v>
      </c>
      <c r="AQ26" s="532">
        <v>4684</v>
      </c>
      <c r="AR26" s="532">
        <v>4504</v>
      </c>
      <c r="AS26" s="532"/>
      <c r="AT26" s="532">
        <v>0</v>
      </c>
      <c r="AU26" s="532">
        <f aca="true" t="shared" si="6" ref="AU26:AU57">SUM(AP26:AT26)</f>
        <v>20068</v>
      </c>
      <c r="AV26" s="532">
        <v>2931</v>
      </c>
      <c r="AW26" s="532">
        <f aca="true" t="shared" si="7" ref="AW26:AW51">+$AW$15</f>
        <v>3265</v>
      </c>
      <c r="AX26" s="532">
        <f aca="true" t="shared" si="8" ref="AX26:AX57">SUM(AV26:AW26)</f>
        <v>6196</v>
      </c>
      <c r="AY26" s="532">
        <v>3234</v>
      </c>
      <c r="AZ26" s="532">
        <v>1339</v>
      </c>
      <c r="BA26" s="532">
        <v>1391</v>
      </c>
      <c r="BB26" s="532"/>
      <c r="BC26" s="532">
        <f aca="true" t="shared" si="9" ref="BC26:BC57">SUM(AY26:BB26)</f>
        <v>5964</v>
      </c>
      <c r="BD26" s="532">
        <v>244</v>
      </c>
      <c r="BE26" s="532">
        <v>0</v>
      </c>
      <c r="BF26" s="532">
        <v>0</v>
      </c>
      <c r="BG26" s="532">
        <v>1991</v>
      </c>
      <c r="BH26" s="532">
        <v>2135</v>
      </c>
      <c r="BI26" s="532">
        <f aca="true" t="shared" si="10" ref="BI26:BI57">SUM(BD26:BH26)</f>
        <v>4370</v>
      </c>
      <c r="BJ26" s="532">
        <v>8453</v>
      </c>
      <c r="BK26" s="532">
        <v>993</v>
      </c>
      <c r="BL26" s="532">
        <v>24128</v>
      </c>
      <c r="BM26" s="532">
        <v>1677</v>
      </c>
      <c r="BN26" s="532">
        <f aca="true" t="shared" si="11" ref="BN26:BN57">SUM(BJ26:BM26)</f>
        <v>35251</v>
      </c>
      <c r="BO26" s="532">
        <v>81170</v>
      </c>
      <c r="BP26" s="532">
        <v>0</v>
      </c>
      <c r="BQ26" s="532"/>
      <c r="BR26" s="532">
        <v>4013</v>
      </c>
      <c r="BS26" s="532">
        <v>0</v>
      </c>
      <c r="BT26" s="532">
        <f aca="true" t="shared" si="12" ref="BT26:BT57">SUM(BO26:BS26)</f>
        <v>85183</v>
      </c>
      <c r="BU26" s="532"/>
      <c r="BV26" s="532"/>
      <c r="BW26" s="532">
        <f aca="true" t="shared" si="13" ref="BW26:BW57">SUM(BU26:BV26)</f>
        <v>0</v>
      </c>
      <c r="BX26" s="532">
        <v>0</v>
      </c>
      <c r="BY26" s="532">
        <f aca="true" t="shared" si="14" ref="BY26:BY57">IF(ISERROR(SUM(AC26,AJ26,AO26,AU26,AX26,BC26,BI26,BN26,BT26,BW26,BX26)),0,SUM(AC26,AJ26,AO26,AU26,AX26,BC26,BI26,BN26,BT26,BW26,BX26))</f>
        <v>666660.27</v>
      </c>
      <c r="BZ26" s="543">
        <f aca="true" t="shared" si="15" ref="BZ26:BZ57">SUM(AC26:BX26)+AC26+BX26</f>
        <v>1333320.54</v>
      </c>
      <c r="CA26" s="441">
        <f aca="true" t="shared" si="16" ref="CA26:CA57">IF(ISERROR($E$15*E26),0,$E$15*E26)+IF(ISERROR($F$15*F26),0,$F$15*F26)+IF(ISERROR($G$15*G26),0,$G$15*G26)+IF(ISERROR($H$15*H26),0,$H$15*H26)+IF(ISERROR($I$15*I26),0,$I$15*I26)+IF(ISERROR($J$15*J26),0,$J$15*J26)+IF(ISERROR($K$15*K26),0,$K$15*K26)+IF(ISERROR($L$15*L26),0,$L$15*L26)+IF(ISERROR($M$15*M26),0,$M$15*M26)+IF(ISERROR($N$15*N26),0,$N$15*N26)+IF(ISERROR($O$15*O26),0,$O$15*O26)+IF(ISERROR($P$15*P26),0,$P$15*P26)+IF(ISERROR($Q$15*Q26),0,$Q$15*Q26)+IF(ISERROR($R$15*R26),0,$R$15*R26)+IF(ISERROR($S$15*S26),0,$S$15*S26)+IF(ISERROR($T$15*T26),0,$T$15*T26)+IF(ISERROR($U$15*U26),0,$U$15*U26)+IF(ISERROR($V$15*V26),0,$V$15*V26)+IF(ISERROR($W$15*W26),0,$W$15*W26)+IF(ISERROR($X$15*Z26),0,$X$15*X26)+IF(ISERROR($Y$15*Y26),0,$Y$15*Y26)</f>
        <v>435360.26999999996</v>
      </c>
      <c r="CC26" s="316">
        <v>-0.1333333333604969</v>
      </c>
      <c r="DW26" s="483"/>
      <c r="DX26" s="442">
        <f>'Table 2'!AS25</f>
      </c>
      <c r="DY26" s="442">
        <f>'Table 2'!AT25</f>
      </c>
      <c r="DZ26" s="442">
        <f>'Table 2'!AU25</f>
      </c>
      <c r="EA26" s="442">
        <f>'Table 2'!AV25</f>
      </c>
      <c r="EB26" s="546"/>
      <c r="EC26" s="442">
        <f>'Table 2'!AX25</f>
      </c>
      <c r="ED26" s="442">
        <f>'Table 2'!AY25</f>
      </c>
      <c r="EE26" s="442">
        <f>'Table 2'!AZ25</f>
      </c>
      <c r="EF26" s="442">
        <f>'Table 2'!BA25</f>
      </c>
      <c r="EG26" s="442">
        <f>'Table 2'!BB25</f>
      </c>
      <c r="EH26" s="442">
        <f>'Table 2'!BC25</f>
      </c>
      <c r="EI26" s="442">
        <f>'Table 2'!BD25</f>
      </c>
      <c r="EJ26" s="442">
        <f>'Table 2'!BE25</f>
      </c>
      <c r="EK26" s="442">
        <f>'Table 2'!BF25</f>
      </c>
      <c r="EL26" s="442">
        <f>'Table 2'!BG25</f>
      </c>
      <c r="EM26" s="442">
        <f>'Table 2'!BH25</f>
      </c>
      <c r="EN26" s="546"/>
      <c r="EO26" s="434">
        <f aca="true" t="shared" si="17" ref="EO26:EO57">IF(LEN(TRIM(DW26&amp;DX26&amp;DY26&amp;DZ26&amp;EA26&amp;EB26&amp;EC26&amp;ED26&amp;EE26&amp;EF26&amp;EG26&amp;EH26&amp;EI26&amp;EJ26&amp;EK26&amp;EL26&amp;EM26&amp;EN26))&gt;0,1,0)</f>
        <v>0</v>
      </c>
    </row>
    <row r="27" spans="2:145" ht="12.75">
      <c r="B27" s="531">
        <v>9</v>
      </c>
      <c r="C27" s="531" t="s">
        <v>515</v>
      </c>
      <c r="D27" s="531">
        <v>2001</v>
      </c>
      <c r="E27" s="532"/>
      <c r="F27" s="532">
        <v>27.5</v>
      </c>
      <c r="G27" s="532"/>
      <c r="H27" s="532"/>
      <c r="I27" s="532">
        <v>60</v>
      </c>
      <c r="J27" s="532"/>
      <c r="K27" s="532">
        <v>58</v>
      </c>
      <c r="L27" s="532">
        <v>60</v>
      </c>
      <c r="M27" s="532"/>
      <c r="N27" s="532">
        <v>0</v>
      </c>
      <c r="O27" s="532">
        <v>0</v>
      </c>
      <c r="P27" s="532">
        <v>0</v>
      </c>
      <c r="Q27" s="532">
        <v>0</v>
      </c>
      <c r="R27" s="532"/>
      <c r="S27" s="532"/>
      <c r="T27" s="532"/>
      <c r="U27" s="532"/>
      <c r="V27" s="532"/>
      <c r="W27" s="532"/>
      <c r="X27" s="532"/>
      <c r="Y27" s="532"/>
      <c r="Z27" s="504"/>
      <c r="AA27" s="504"/>
      <c r="AB27" s="532">
        <f t="shared" si="2"/>
        <v>205.5</v>
      </c>
      <c r="AC27" s="532">
        <f t="shared" si="3"/>
        <v>431651.69</v>
      </c>
      <c r="AD27" s="532">
        <v>74268</v>
      </c>
      <c r="AE27" s="532"/>
      <c r="AF27" s="532">
        <v>0</v>
      </c>
      <c r="AG27" s="532"/>
      <c r="AH27" s="561"/>
      <c r="AI27" s="532"/>
      <c r="AJ27" s="532">
        <f t="shared" si="4"/>
        <v>74268</v>
      </c>
      <c r="AK27" s="539"/>
      <c r="AL27" s="540"/>
      <c r="AM27" s="562"/>
      <c r="AN27" s="562"/>
      <c r="AO27" s="542">
        <f t="shared" si="5"/>
        <v>0</v>
      </c>
      <c r="AP27" s="532">
        <v>0</v>
      </c>
      <c r="AQ27" s="532">
        <v>2790</v>
      </c>
      <c r="AR27" s="532">
        <v>2683</v>
      </c>
      <c r="AS27" s="532"/>
      <c r="AT27" s="532">
        <v>0</v>
      </c>
      <c r="AU27" s="532">
        <f t="shared" si="6"/>
        <v>5473</v>
      </c>
      <c r="AV27" s="532">
        <v>0</v>
      </c>
      <c r="AW27" s="532">
        <f t="shared" si="7"/>
        <v>3265</v>
      </c>
      <c r="AX27" s="532">
        <f t="shared" si="8"/>
        <v>3265</v>
      </c>
      <c r="AY27" s="532">
        <v>1926</v>
      </c>
      <c r="AZ27" s="532">
        <v>1740</v>
      </c>
      <c r="BA27" s="532">
        <v>2053</v>
      </c>
      <c r="BB27" s="532"/>
      <c r="BC27" s="532">
        <f t="shared" si="9"/>
        <v>5719</v>
      </c>
      <c r="BD27" s="532">
        <v>195</v>
      </c>
      <c r="BE27" s="532">
        <v>0</v>
      </c>
      <c r="BF27" s="532">
        <v>0</v>
      </c>
      <c r="BG27" s="532">
        <v>2588</v>
      </c>
      <c r="BH27" s="532">
        <v>3151</v>
      </c>
      <c r="BI27" s="532">
        <f t="shared" si="10"/>
        <v>5934</v>
      </c>
      <c r="BJ27" s="532">
        <v>8705</v>
      </c>
      <c r="BK27" s="532">
        <v>921</v>
      </c>
      <c r="BL27" s="532">
        <v>28604</v>
      </c>
      <c r="BM27" s="532">
        <v>3482</v>
      </c>
      <c r="BN27" s="532">
        <f t="shared" si="11"/>
        <v>41712</v>
      </c>
      <c r="BO27" s="532">
        <v>81170</v>
      </c>
      <c r="BP27" s="532">
        <v>0</v>
      </c>
      <c r="BQ27" s="532"/>
      <c r="BR27" s="532">
        <v>4757</v>
      </c>
      <c r="BS27" s="532">
        <v>0</v>
      </c>
      <c r="BT27" s="532">
        <f t="shared" si="12"/>
        <v>85927</v>
      </c>
      <c r="BU27" s="532"/>
      <c r="BV27" s="532"/>
      <c r="BW27" s="532">
        <f t="shared" si="13"/>
        <v>0</v>
      </c>
      <c r="BX27" s="532">
        <v>0</v>
      </c>
      <c r="BY27" s="532">
        <f t="shared" si="14"/>
        <v>653949.69</v>
      </c>
      <c r="BZ27" s="543">
        <f t="shared" si="15"/>
        <v>1307899.38</v>
      </c>
      <c r="CA27" s="441">
        <f t="shared" si="16"/>
        <v>431651.69</v>
      </c>
      <c r="CC27" s="316">
        <v>-0.19999999995343387</v>
      </c>
      <c r="DW27" s="483"/>
      <c r="DX27" s="442">
        <f>'Table 2'!AS26</f>
      </c>
      <c r="DY27" s="442">
        <f>'Table 2'!AT26</f>
      </c>
      <c r="DZ27" s="442">
        <f>'Table 2'!AU26</f>
      </c>
      <c r="EA27" s="442">
        <f>'Table 2'!AV26</f>
      </c>
      <c r="EB27" s="546"/>
      <c r="EC27" s="442">
        <f>'Table 2'!AX26</f>
      </c>
      <c r="ED27" s="442">
        <f>'Table 2'!AY26</f>
      </c>
      <c r="EE27" s="442">
        <f>'Table 2'!AZ26</f>
      </c>
      <c r="EF27" s="442">
        <f>'Table 2'!BA26</f>
      </c>
      <c r="EG27" s="442">
        <f>'Table 2'!BB26</f>
      </c>
      <c r="EH27" s="442">
        <f>'Table 2'!BC26</f>
      </c>
      <c r="EI27" s="442">
        <f>'Table 2'!BD26</f>
      </c>
      <c r="EJ27" s="442">
        <f>'Table 2'!BE26</f>
      </c>
      <c r="EK27" s="442">
        <f>'Table 2'!BF26</f>
      </c>
      <c r="EL27" s="442">
        <f>'Table 2'!BG26</f>
      </c>
      <c r="EM27" s="442">
        <f>'Table 2'!BH26</f>
      </c>
      <c r="EN27" s="546"/>
      <c r="EO27" s="434">
        <f t="shared" si="17"/>
        <v>0</v>
      </c>
    </row>
    <row r="28" spans="2:145" ht="12.75">
      <c r="B28" s="531">
        <v>15</v>
      </c>
      <c r="C28" s="531" t="s">
        <v>516</v>
      </c>
      <c r="D28" s="531">
        <v>2004</v>
      </c>
      <c r="E28" s="532"/>
      <c r="F28" s="532">
        <v>0</v>
      </c>
      <c r="G28" s="532"/>
      <c r="H28" s="532"/>
      <c r="I28" s="532">
        <v>0</v>
      </c>
      <c r="J28" s="532"/>
      <c r="K28" s="532">
        <v>0</v>
      </c>
      <c r="L28" s="532">
        <v>0</v>
      </c>
      <c r="M28" s="532"/>
      <c r="N28" s="532">
        <v>70</v>
      </c>
      <c r="O28" s="532">
        <v>70</v>
      </c>
      <c r="P28" s="532">
        <v>70</v>
      </c>
      <c r="Q28" s="532">
        <v>70</v>
      </c>
      <c r="R28" s="532"/>
      <c r="S28" s="532"/>
      <c r="T28" s="532"/>
      <c r="U28" s="532"/>
      <c r="V28" s="532"/>
      <c r="W28" s="532"/>
      <c r="X28" s="532"/>
      <c r="Y28" s="532"/>
      <c r="Z28" s="504"/>
      <c r="AA28" s="504"/>
      <c r="AB28" s="532">
        <f t="shared" si="2"/>
        <v>280</v>
      </c>
      <c r="AC28" s="532">
        <f t="shared" si="3"/>
        <v>606552.8</v>
      </c>
      <c r="AD28" s="532">
        <v>0</v>
      </c>
      <c r="AE28" s="532"/>
      <c r="AF28" s="532">
        <v>0</v>
      </c>
      <c r="AG28" s="532"/>
      <c r="AH28" s="561"/>
      <c r="AI28" s="532"/>
      <c r="AJ28" s="532">
        <f t="shared" si="4"/>
        <v>0</v>
      </c>
      <c r="AK28" s="539"/>
      <c r="AL28" s="540"/>
      <c r="AM28" s="562"/>
      <c r="AN28" s="562"/>
      <c r="AO28" s="542">
        <f t="shared" si="5"/>
        <v>0</v>
      </c>
      <c r="AP28" s="532">
        <v>21759</v>
      </c>
      <c r="AQ28" s="532">
        <v>11592</v>
      </c>
      <c r="AR28" s="532">
        <v>11143</v>
      </c>
      <c r="AS28" s="532"/>
      <c r="AT28" s="532">
        <v>0</v>
      </c>
      <c r="AU28" s="532">
        <f t="shared" si="6"/>
        <v>44494</v>
      </c>
      <c r="AV28" s="532">
        <v>6902</v>
      </c>
      <c r="AW28" s="532">
        <f t="shared" si="7"/>
        <v>3265</v>
      </c>
      <c r="AX28" s="532">
        <f t="shared" si="8"/>
        <v>10167</v>
      </c>
      <c r="AY28" s="532">
        <v>8002</v>
      </c>
      <c r="AZ28" s="532">
        <v>3079</v>
      </c>
      <c r="BA28" s="532">
        <v>3413</v>
      </c>
      <c r="BB28" s="532"/>
      <c r="BC28" s="532">
        <f t="shared" si="9"/>
        <v>14494</v>
      </c>
      <c r="BD28" s="532">
        <v>439</v>
      </c>
      <c r="BE28" s="532">
        <v>0</v>
      </c>
      <c r="BF28" s="532">
        <v>0</v>
      </c>
      <c r="BG28" s="532">
        <v>4579</v>
      </c>
      <c r="BH28" s="532">
        <v>5238</v>
      </c>
      <c r="BI28" s="532">
        <f t="shared" si="10"/>
        <v>10256</v>
      </c>
      <c r="BJ28" s="532">
        <v>12490</v>
      </c>
      <c r="BK28" s="532">
        <v>1176</v>
      </c>
      <c r="BL28" s="532">
        <v>35570</v>
      </c>
      <c r="BM28" s="532">
        <v>5077</v>
      </c>
      <c r="BN28" s="532">
        <f t="shared" si="11"/>
        <v>54313</v>
      </c>
      <c r="BO28" s="532">
        <v>80468</v>
      </c>
      <c r="BP28" s="532">
        <v>0</v>
      </c>
      <c r="BQ28" s="532"/>
      <c r="BR28" s="532">
        <v>5916</v>
      </c>
      <c r="BS28" s="532">
        <v>0</v>
      </c>
      <c r="BT28" s="532">
        <f t="shared" si="12"/>
        <v>86384</v>
      </c>
      <c r="BU28" s="532"/>
      <c r="BV28" s="532"/>
      <c r="BW28" s="532">
        <f t="shared" si="13"/>
        <v>0</v>
      </c>
      <c r="BX28" s="532">
        <v>0</v>
      </c>
      <c r="BY28" s="532">
        <f t="shared" si="14"/>
        <v>826660.8</v>
      </c>
      <c r="BZ28" s="543">
        <f t="shared" si="15"/>
        <v>1653321.6</v>
      </c>
      <c r="CA28" s="441">
        <f t="shared" si="16"/>
        <v>606552.8</v>
      </c>
      <c r="CC28" s="316">
        <v>-0.5625</v>
      </c>
      <c r="DW28" s="483"/>
      <c r="DX28" s="442">
        <f>'Table 2'!AS27</f>
      </c>
      <c r="DY28" s="442">
        <f>'Table 2'!AT27</f>
      </c>
      <c r="DZ28" s="442">
        <f>'Table 2'!AU27</f>
      </c>
      <c r="EA28" s="442">
        <f>'Table 2'!AV27</f>
      </c>
      <c r="EB28" s="546"/>
      <c r="EC28" s="442">
        <f>'Table 2'!AX27</f>
      </c>
      <c r="ED28" s="442">
        <f>'Table 2'!AY27</f>
      </c>
      <c r="EE28" s="442">
        <f>'Table 2'!AZ27</f>
      </c>
      <c r="EF28" s="442">
        <f>'Table 2'!BA27</f>
      </c>
      <c r="EG28" s="442">
        <f>'Table 2'!BB27</f>
      </c>
      <c r="EH28" s="442">
        <f>'Table 2'!BC27</f>
      </c>
      <c r="EI28" s="442">
        <f>'Table 2'!BD27</f>
      </c>
      <c r="EJ28" s="442">
        <f>'Table 2'!BE27</f>
      </c>
      <c r="EK28" s="442">
        <f>'Table 2'!BF27</f>
      </c>
      <c r="EL28" s="442">
        <f>'Table 2'!BG27</f>
      </c>
      <c r="EM28" s="442">
        <f>'Table 2'!BH27</f>
      </c>
      <c r="EN28" s="546"/>
      <c r="EO28" s="434">
        <f t="shared" si="17"/>
        <v>0</v>
      </c>
    </row>
    <row r="29" spans="2:145" ht="12.75">
      <c r="B29" s="531">
        <v>16</v>
      </c>
      <c r="C29" s="531" t="s">
        <v>517</v>
      </c>
      <c r="D29" s="531">
        <v>2005</v>
      </c>
      <c r="E29" s="532"/>
      <c r="F29" s="532">
        <v>22.5</v>
      </c>
      <c r="G29" s="532"/>
      <c r="H29" s="532"/>
      <c r="I29" s="532">
        <v>60</v>
      </c>
      <c r="J29" s="532"/>
      <c r="K29" s="532">
        <v>53</v>
      </c>
      <c r="L29" s="532">
        <v>43</v>
      </c>
      <c r="M29" s="532"/>
      <c r="N29" s="532">
        <v>0</v>
      </c>
      <c r="O29" s="532">
        <v>0</v>
      </c>
      <c r="P29" s="532">
        <v>0</v>
      </c>
      <c r="Q29" s="532">
        <v>0</v>
      </c>
      <c r="R29" s="532"/>
      <c r="S29" s="532"/>
      <c r="T29" s="532"/>
      <c r="U29" s="532"/>
      <c r="V29" s="532"/>
      <c r="W29" s="532"/>
      <c r="X29" s="532"/>
      <c r="Y29" s="532"/>
      <c r="Z29" s="504"/>
      <c r="AA29" s="504"/>
      <c r="AB29" s="532">
        <f t="shared" si="2"/>
        <v>178.5</v>
      </c>
      <c r="AC29" s="532">
        <f t="shared" si="3"/>
        <v>382369.53</v>
      </c>
      <c r="AD29" s="532">
        <v>64551</v>
      </c>
      <c r="AE29" s="532"/>
      <c r="AF29" s="532">
        <v>14160</v>
      </c>
      <c r="AG29" s="532"/>
      <c r="AH29" s="561"/>
      <c r="AI29" s="532"/>
      <c r="AJ29" s="532">
        <f t="shared" si="4"/>
        <v>78711</v>
      </c>
      <c r="AK29" s="539"/>
      <c r="AL29" s="540"/>
      <c r="AM29" s="562"/>
      <c r="AN29" s="562"/>
      <c r="AO29" s="542">
        <f t="shared" si="5"/>
        <v>0</v>
      </c>
      <c r="AP29" s="532">
        <v>6528</v>
      </c>
      <c r="AQ29" s="532">
        <v>2872</v>
      </c>
      <c r="AR29" s="532">
        <v>2762</v>
      </c>
      <c r="AS29" s="532"/>
      <c r="AT29" s="532">
        <v>0</v>
      </c>
      <c r="AU29" s="532">
        <f t="shared" si="6"/>
        <v>12162</v>
      </c>
      <c r="AV29" s="532">
        <v>391</v>
      </c>
      <c r="AW29" s="532">
        <f t="shared" si="7"/>
        <v>3265</v>
      </c>
      <c r="AX29" s="532">
        <f t="shared" si="8"/>
        <v>3656</v>
      </c>
      <c r="AY29" s="532">
        <v>1983</v>
      </c>
      <c r="AZ29" s="532">
        <v>2677</v>
      </c>
      <c r="BA29" s="532">
        <v>2109</v>
      </c>
      <c r="BB29" s="532"/>
      <c r="BC29" s="532">
        <f t="shared" si="9"/>
        <v>6769</v>
      </c>
      <c r="BD29" s="532">
        <v>439</v>
      </c>
      <c r="BE29" s="532">
        <v>0</v>
      </c>
      <c r="BF29" s="532">
        <v>0</v>
      </c>
      <c r="BG29" s="532">
        <v>3982</v>
      </c>
      <c r="BH29" s="532">
        <v>3237</v>
      </c>
      <c r="BI29" s="532">
        <f t="shared" si="10"/>
        <v>7658</v>
      </c>
      <c r="BJ29" s="532">
        <v>9841</v>
      </c>
      <c r="BK29" s="532">
        <v>825</v>
      </c>
      <c r="BL29" s="532">
        <v>32569</v>
      </c>
      <c r="BM29" s="532">
        <v>3148</v>
      </c>
      <c r="BN29" s="532">
        <f t="shared" si="11"/>
        <v>46383</v>
      </c>
      <c r="BO29" s="532">
        <v>81170</v>
      </c>
      <c r="BP29" s="532">
        <v>14994</v>
      </c>
      <c r="BQ29" s="532"/>
      <c r="BR29" s="532">
        <v>5417</v>
      </c>
      <c r="BS29" s="532">
        <v>0</v>
      </c>
      <c r="BT29" s="532">
        <f t="shared" si="12"/>
        <v>101581</v>
      </c>
      <c r="BU29" s="532"/>
      <c r="BV29" s="532"/>
      <c r="BW29" s="532">
        <f t="shared" si="13"/>
        <v>0</v>
      </c>
      <c r="BX29" s="532">
        <v>0</v>
      </c>
      <c r="BY29" s="532">
        <f t="shared" si="14"/>
        <v>639289.53</v>
      </c>
      <c r="BZ29" s="543">
        <f t="shared" si="15"/>
        <v>1278579.06</v>
      </c>
      <c r="CA29" s="441">
        <f t="shared" si="16"/>
        <v>382369.53</v>
      </c>
      <c r="CC29" s="316">
        <v>-0.27000000001862645</v>
      </c>
      <c r="DW29" s="483"/>
      <c r="DX29" s="442">
        <f>'Table 2'!AS28</f>
      </c>
      <c r="DY29" s="442">
        <f>'Table 2'!AT28</f>
      </c>
      <c r="DZ29" s="442">
        <f>'Table 2'!AU28</f>
      </c>
      <c r="EA29" s="442">
        <f>'Table 2'!AV28</f>
      </c>
      <c r="EB29" s="546"/>
      <c r="EC29" s="442">
        <f>'Table 2'!AX28</f>
      </c>
      <c r="ED29" s="442">
        <f>'Table 2'!AY28</f>
      </c>
      <c r="EE29" s="442">
        <f>'Table 2'!AZ28</f>
      </c>
      <c r="EF29" s="442">
        <f>'Table 2'!BA28</f>
      </c>
      <c r="EG29" s="442">
        <f>'Table 2'!BB28</f>
      </c>
      <c r="EH29" s="442">
        <f>'Table 2'!BC28</f>
      </c>
      <c r="EI29" s="442">
        <f>'Table 2'!BD28</f>
      </c>
      <c r="EJ29" s="442">
        <f>'Table 2'!BE28</f>
      </c>
      <c r="EK29" s="442">
        <f>'Table 2'!BF28</f>
      </c>
      <c r="EL29" s="442">
        <f>'Table 2'!BG28</f>
      </c>
      <c r="EM29" s="442">
        <f>'Table 2'!BH28</f>
      </c>
      <c r="EN29" s="546"/>
      <c r="EO29" s="434">
        <f t="shared" si="17"/>
        <v>0</v>
      </c>
    </row>
    <row r="30" spans="2:145" ht="12.75">
      <c r="B30" s="531">
        <v>18</v>
      </c>
      <c r="C30" s="531" t="s">
        <v>518</v>
      </c>
      <c r="D30" s="531">
        <v>2006</v>
      </c>
      <c r="E30" s="532"/>
      <c r="F30" s="532">
        <v>34</v>
      </c>
      <c r="G30" s="532"/>
      <c r="H30" s="532"/>
      <c r="I30" s="532">
        <v>75</v>
      </c>
      <c r="J30" s="532"/>
      <c r="K30" s="532">
        <v>75</v>
      </c>
      <c r="L30" s="532">
        <v>74</v>
      </c>
      <c r="M30" s="532"/>
      <c r="N30" s="532">
        <v>0</v>
      </c>
      <c r="O30" s="532">
        <v>0</v>
      </c>
      <c r="P30" s="532">
        <v>0</v>
      </c>
      <c r="Q30" s="532">
        <v>0</v>
      </c>
      <c r="R30" s="532"/>
      <c r="S30" s="532"/>
      <c r="T30" s="532"/>
      <c r="U30" s="532"/>
      <c r="V30" s="532"/>
      <c r="W30" s="532"/>
      <c r="X30" s="532"/>
      <c r="Y30" s="532"/>
      <c r="Z30" s="504"/>
      <c r="AA30" s="504"/>
      <c r="AB30" s="532">
        <f t="shared" si="2"/>
        <v>258</v>
      </c>
      <c r="AC30" s="532">
        <f t="shared" si="3"/>
        <v>542800.75</v>
      </c>
      <c r="AD30" s="532">
        <v>74268</v>
      </c>
      <c r="AE30" s="532"/>
      <c r="AF30" s="532">
        <v>17700</v>
      </c>
      <c r="AG30" s="532"/>
      <c r="AH30" s="561"/>
      <c r="AI30" s="532"/>
      <c r="AJ30" s="532">
        <f t="shared" si="4"/>
        <v>91968</v>
      </c>
      <c r="AK30" s="539"/>
      <c r="AL30" s="540"/>
      <c r="AM30" s="562"/>
      <c r="AN30" s="562"/>
      <c r="AO30" s="542">
        <f t="shared" si="5"/>
        <v>0</v>
      </c>
      <c r="AP30" s="532">
        <v>10880</v>
      </c>
      <c r="AQ30" s="532">
        <v>11584</v>
      </c>
      <c r="AR30" s="532">
        <v>11137</v>
      </c>
      <c r="AS30" s="532"/>
      <c r="AT30" s="532">
        <v>0</v>
      </c>
      <c r="AU30" s="532">
        <f t="shared" si="6"/>
        <v>33601</v>
      </c>
      <c r="AV30" s="532">
        <v>0</v>
      </c>
      <c r="AW30" s="532">
        <f t="shared" si="7"/>
        <v>3265</v>
      </c>
      <c r="AX30" s="532">
        <f t="shared" si="8"/>
        <v>3265</v>
      </c>
      <c r="AY30" s="532">
        <v>7998</v>
      </c>
      <c r="AZ30" s="532">
        <v>3480</v>
      </c>
      <c r="BA30" s="532">
        <v>2974</v>
      </c>
      <c r="BB30" s="532"/>
      <c r="BC30" s="532">
        <f t="shared" si="9"/>
        <v>14452</v>
      </c>
      <c r="BD30" s="532">
        <v>488</v>
      </c>
      <c r="BE30" s="532">
        <v>0</v>
      </c>
      <c r="BF30" s="532">
        <v>0</v>
      </c>
      <c r="BG30" s="532">
        <v>5177</v>
      </c>
      <c r="BH30" s="532">
        <v>4564</v>
      </c>
      <c r="BI30" s="532">
        <f t="shared" si="10"/>
        <v>10229</v>
      </c>
      <c r="BJ30" s="532">
        <v>11355</v>
      </c>
      <c r="BK30" s="532">
        <v>895</v>
      </c>
      <c r="BL30" s="532">
        <v>30134</v>
      </c>
      <c r="BM30" s="532">
        <v>2210</v>
      </c>
      <c r="BN30" s="532">
        <f t="shared" si="11"/>
        <v>44594</v>
      </c>
      <c r="BO30" s="532">
        <v>81170</v>
      </c>
      <c r="BP30" s="532">
        <v>0</v>
      </c>
      <c r="BQ30" s="532"/>
      <c r="BR30" s="532">
        <v>5011</v>
      </c>
      <c r="BS30" s="532">
        <v>0</v>
      </c>
      <c r="BT30" s="532">
        <f t="shared" si="12"/>
        <v>86181</v>
      </c>
      <c r="BU30" s="532"/>
      <c r="BV30" s="532"/>
      <c r="BW30" s="532">
        <f t="shared" si="13"/>
        <v>0</v>
      </c>
      <c r="BX30" s="532">
        <v>0</v>
      </c>
      <c r="BY30" s="532">
        <f t="shared" si="14"/>
        <v>827090.75</v>
      </c>
      <c r="BZ30" s="543">
        <f t="shared" si="15"/>
        <v>1654181.5</v>
      </c>
      <c r="CA30" s="441">
        <f t="shared" si="16"/>
        <v>542800.75</v>
      </c>
      <c r="CC30" s="316">
        <v>-0.11999999987892807</v>
      </c>
      <c r="DW30" s="483"/>
      <c r="DX30" s="442">
        <f>'Table 2'!AS29</f>
      </c>
      <c r="DY30" s="442">
        <f>'Table 2'!AT29</f>
      </c>
      <c r="DZ30" s="442">
        <f>'Table 2'!AU29</f>
      </c>
      <c r="EA30" s="442">
        <f>'Table 2'!AV29</f>
      </c>
      <c r="EB30" s="546"/>
      <c r="EC30" s="442">
        <f>'Table 2'!AX29</f>
      </c>
      <c r="ED30" s="442">
        <f>'Table 2'!AY29</f>
      </c>
      <c r="EE30" s="442">
        <f>'Table 2'!AZ29</f>
      </c>
      <c r="EF30" s="442">
        <f>'Table 2'!BA29</f>
      </c>
      <c r="EG30" s="442">
        <f>'Table 2'!BB29</f>
      </c>
      <c r="EH30" s="442">
        <f>'Table 2'!BC29</f>
      </c>
      <c r="EI30" s="442">
        <f>'Table 2'!BD29</f>
      </c>
      <c r="EJ30" s="442">
        <f>'Table 2'!BE29</f>
      </c>
      <c r="EK30" s="442">
        <f>'Table 2'!BF29</f>
      </c>
      <c r="EL30" s="442">
        <f>'Table 2'!BG29</f>
      </c>
      <c r="EM30" s="442">
        <f>'Table 2'!BH29</f>
      </c>
      <c r="EN30" s="546"/>
      <c r="EO30" s="434">
        <f t="shared" si="17"/>
        <v>0</v>
      </c>
    </row>
    <row r="31" spans="2:145" ht="12.75">
      <c r="B31" s="531">
        <v>21</v>
      </c>
      <c r="C31" s="531" t="s">
        <v>519</v>
      </c>
      <c r="D31" s="531">
        <v>2007</v>
      </c>
      <c r="E31" s="532"/>
      <c r="F31" s="532">
        <v>0</v>
      </c>
      <c r="G31" s="532"/>
      <c r="H31" s="532"/>
      <c r="I31" s="532">
        <v>0</v>
      </c>
      <c r="J31" s="532"/>
      <c r="K31" s="532">
        <v>0</v>
      </c>
      <c r="L31" s="532">
        <v>0</v>
      </c>
      <c r="M31" s="532"/>
      <c r="N31" s="532">
        <v>80</v>
      </c>
      <c r="O31" s="532">
        <v>81</v>
      </c>
      <c r="P31" s="532">
        <v>85</v>
      </c>
      <c r="Q31" s="532">
        <v>96</v>
      </c>
      <c r="R31" s="532"/>
      <c r="S31" s="532"/>
      <c r="T31" s="532"/>
      <c r="U31" s="532"/>
      <c r="V31" s="532"/>
      <c r="W31" s="532"/>
      <c r="X31" s="532"/>
      <c r="Y31" s="532"/>
      <c r="Z31" s="504"/>
      <c r="AA31" s="504"/>
      <c r="AB31" s="532">
        <f t="shared" si="2"/>
        <v>342</v>
      </c>
      <c r="AC31" s="532">
        <f t="shared" si="3"/>
        <v>740427.74</v>
      </c>
      <c r="AD31" s="532">
        <v>0</v>
      </c>
      <c r="AE31" s="532"/>
      <c r="AF31" s="532">
        <v>0</v>
      </c>
      <c r="AG31" s="532"/>
      <c r="AH31" s="561"/>
      <c r="AI31" s="532"/>
      <c r="AJ31" s="532">
        <f t="shared" si="4"/>
        <v>0</v>
      </c>
      <c r="AK31" s="539"/>
      <c r="AL31" s="540"/>
      <c r="AM31" s="562"/>
      <c r="AN31" s="562"/>
      <c r="AO31" s="542">
        <f t="shared" si="5"/>
        <v>0</v>
      </c>
      <c r="AP31" s="532">
        <v>13056</v>
      </c>
      <c r="AQ31" s="532">
        <v>3343</v>
      </c>
      <c r="AR31" s="532">
        <v>3214</v>
      </c>
      <c r="AS31" s="532"/>
      <c r="AT31" s="532">
        <v>0</v>
      </c>
      <c r="AU31" s="532">
        <f t="shared" si="6"/>
        <v>19613</v>
      </c>
      <c r="AV31" s="532">
        <v>6448</v>
      </c>
      <c r="AW31" s="532">
        <f t="shared" si="7"/>
        <v>3265</v>
      </c>
      <c r="AX31" s="532">
        <f t="shared" si="8"/>
        <v>9713</v>
      </c>
      <c r="AY31" s="532">
        <v>2308</v>
      </c>
      <c r="AZ31" s="532">
        <v>1339</v>
      </c>
      <c r="BA31" s="532">
        <v>1359</v>
      </c>
      <c r="BB31" s="532"/>
      <c r="BC31" s="532">
        <f t="shared" si="9"/>
        <v>5006</v>
      </c>
      <c r="BD31" s="532">
        <v>244</v>
      </c>
      <c r="BE31" s="532">
        <v>0</v>
      </c>
      <c r="BF31" s="532">
        <v>0</v>
      </c>
      <c r="BG31" s="532">
        <v>1991</v>
      </c>
      <c r="BH31" s="532">
        <v>2086</v>
      </c>
      <c r="BI31" s="532">
        <f t="shared" si="10"/>
        <v>4321</v>
      </c>
      <c r="BJ31" s="532">
        <v>13374</v>
      </c>
      <c r="BK31" s="532">
        <v>1994</v>
      </c>
      <c r="BL31" s="532">
        <v>43726</v>
      </c>
      <c r="BM31" s="532">
        <v>5127</v>
      </c>
      <c r="BN31" s="532">
        <f t="shared" si="11"/>
        <v>64221</v>
      </c>
      <c r="BO31" s="532">
        <v>80468</v>
      </c>
      <c r="BP31" s="532">
        <v>0</v>
      </c>
      <c r="BQ31" s="532"/>
      <c r="BR31" s="532">
        <v>7272</v>
      </c>
      <c r="BS31" s="532">
        <v>0</v>
      </c>
      <c r="BT31" s="532">
        <f t="shared" si="12"/>
        <v>87740</v>
      </c>
      <c r="BU31" s="532"/>
      <c r="BV31" s="532"/>
      <c r="BW31" s="532">
        <f t="shared" si="13"/>
        <v>0</v>
      </c>
      <c r="BX31" s="532">
        <v>16328</v>
      </c>
      <c r="BY31" s="532">
        <f t="shared" si="14"/>
        <v>947369.74</v>
      </c>
      <c r="BZ31" s="543">
        <f t="shared" si="15"/>
        <v>1894739.48</v>
      </c>
      <c r="CA31" s="441">
        <f t="shared" si="16"/>
        <v>740427.74</v>
      </c>
      <c r="CC31" s="316">
        <v>-0.0800000000745058</v>
      </c>
      <c r="DW31" s="483"/>
      <c r="DX31" s="442">
        <f>'Table 2'!AS30</f>
      </c>
      <c r="DY31" s="442">
        <f>'Table 2'!AT30</f>
      </c>
      <c r="DZ31" s="442">
        <f>'Table 2'!AU30</f>
      </c>
      <c r="EA31" s="442">
        <f>'Table 2'!AV30</f>
      </c>
      <c r="EB31" s="546"/>
      <c r="EC31" s="442">
        <f>'Table 2'!AX30</f>
      </c>
      <c r="ED31" s="442">
        <f>'Table 2'!AY30</f>
      </c>
      <c r="EE31" s="442">
        <f>'Table 2'!AZ30</f>
      </c>
      <c r="EF31" s="442">
        <f>'Table 2'!BA30</f>
      </c>
      <c r="EG31" s="442">
        <f>'Table 2'!BB30</f>
      </c>
      <c r="EH31" s="442">
        <f>'Table 2'!BC30</f>
      </c>
      <c r="EI31" s="442">
        <f>'Table 2'!BD30</f>
      </c>
      <c r="EJ31" s="442">
        <f>'Table 2'!BE30</f>
      </c>
      <c r="EK31" s="442">
        <f>'Table 2'!BF30</f>
      </c>
      <c r="EL31" s="442">
        <f>'Table 2'!BG30</f>
      </c>
      <c r="EM31" s="442">
        <f>'Table 2'!BH30</f>
      </c>
      <c r="EN31" s="546"/>
      <c r="EO31" s="434">
        <f t="shared" si="17"/>
        <v>0</v>
      </c>
    </row>
    <row r="32" spans="2:145" ht="12.75">
      <c r="B32" s="531">
        <v>20</v>
      </c>
      <c r="C32" s="531" t="s">
        <v>520</v>
      </c>
      <c r="D32" s="531">
        <v>2008</v>
      </c>
      <c r="E32" s="532"/>
      <c r="F32" s="532">
        <v>40</v>
      </c>
      <c r="G32" s="532"/>
      <c r="H32" s="532"/>
      <c r="I32" s="532">
        <v>90</v>
      </c>
      <c r="J32" s="532"/>
      <c r="K32" s="532">
        <v>88</v>
      </c>
      <c r="L32" s="532">
        <v>90</v>
      </c>
      <c r="M32" s="532"/>
      <c r="N32" s="532">
        <v>0</v>
      </c>
      <c r="O32" s="532">
        <v>0</v>
      </c>
      <c r="P32" s="532">
        <v>0</v>
      </c>
      <c r="Q32" s="532">
        <v>0</v>
      </c>
      <c r="R32" s="532"/>
      <c r="S32" s="532"/>
      <c r="T32" s="532"/>
      <c r="U32" s="532"/>
      <c r="V32" s="532"/>
      <c r="W32" s="532"/>
      <c r="X32" s="532"/>
      <c r="Y32" s="532"/>
      <c r="Z32" s="504"/>
      <c r="AA32" s="504"/>
      <c r="AB32" s="532">
        <f t="shared" si="2"/>
        <v>308</v>
      </c>
      <c r="AC32" s="532">
        <f t="shared" si="3"/>
        <v>649461.74</v>
      </c>
      <c r="AD32" s="532">
        <v>109666</v>
      </c>
      <c r="AE32" s="532"/>
      <c r="AF32" s="532">
        <v>0</v>
      </c>
      <c r="AG32" s="532"/>
      <c r="AH32" s="561"/>
      <c r="AI32" s="532"/>
      <c r="AJ32" s="532">
        <f t="shared" si="4"/>
        <v>109666</v>
      </c>
      <c r="AK32" s="539"/>
      <c r="AL32" s="540"/>
      <c r="AM32" s="562"/>
      <c r="AN32" s="562"/>
      <c r="AO32" s="542">
        <f t="shared" si="5"/>
        <v>0</v>
      </c>
      <c r="AP32" s="532">
        <v>0</v>
      </c>
      <c r="AQ32" s="532">
        <v>2961</v>
      </c>
      <c r="AR32" s="532">
        <v>2847</v>
      </c>
      <c r="AS32" s="532"/>
      <c r="AT32" s="532">
        <v>0</v>
      </c>
      <c r="AU32" s="532">
        <f t="shared" si="6"/>
        <v>5808</v>
      </c>
      <c r="AV32" s="532">
        <v>0</v>
      </c>
      <c r="AW32" s="532">
        <f t="shared" si="7"/>
        <v>3265</v>
      </c>
      <c r="AX32" s="532">
        <f t="shared" si="8"/>
        <v>3265</v>
      </c>
      <c r="AY32" s="532">
        <v>2044</v>
      </c>
      <c r="AZ32" s="532">
        <v>669</v>
      </c>
      <c r="BA32" s="532">
        <v>1040</v>
      </c>
      <c r="BB32" s="532"/>
      <c r="BC32" s="532">
        <f t="shared" si="9"/>
        <v>3753</v>
      </c>
      <c r="BD32" s="532">
        <v>122</v>
      </c>
      <c r="BE32" s="532">
        <v>0</v>
      </c>
      <c r="BF32" s="532">
        <v>0</v>
      </c>
      <c r="BG32" s="532">
        <v>996</v>
      </c>
      <c r="BH32" s="532">
        <v>1597</v>
      </c>
      <c r="BI32" s="532">
        <f t="shared" si="10"/>
        <v>2715</v>
      </c>
      <c r="BJ32" s="532">
        <v>16906</v>
      </c>
      <c r="BK32" s="532">
        <v>1060</v>
      </c>
      <c r="BL32" s="532">
        <v>32879</v>
      </c>
      <c r="BM32" s="532">
        <v>6188</v>
      </c>
      <c r="BN32" s="532">
        <f t="shared" si="11"/>
        <v>57033</v>
      </c>
      <c r="BO32" s="532">
        <v>81170</v>
      </c>
      <c r="BP32" s="532">
        <v>0</v>
      </c>
      <c r="BQ32" s="532"/>
      <c r="BR32" s="532">
        <v>5468</v>
      </c>
      <c r="BS32" s="532">
        <v>0</v>
      </c>
      <c r="BT32" s="532">
        <f t="shared" si="12"/>
        <v>86638</v>
      </c>
      <c r="BU32" s="532"/>
      <c r="BV32" s="532"/>
      <c r="BW32" s="532">
        <f t="shared" si="13"/>
        <v>0</v>
      </c>
      <c r="BX32" s="532">
        <v>0</v>
      </c>
      <c r="BY32" s="532">
        <f t="shared" si="14"/>
        <v>918339.74</v>
      </c>
      <c r="BZ32" s="543">
        <f t="shared" si="15"/>
        <v>1836679.48</v>
      </c>
      <c r="CA32" s="441">
        <f t="shared" si="16"/>
        <v>649461.74</v>
      </c>
      <c r="CC32" s="316">
        <v>0.27000000001862645</v>
      </c>
      <c r="DW32" s="483"/>
      <c r="DX32" s="442">
        <f>'Table 2'!AS31</f>
      </c>
      <c r="DY32" s="442">
        <f>'Table 2'!AT31</f>
      </c>
      <c r="DZ32" s="442">
        <f>'Table 2'!AU31</f>
      </c>
      <c r="EA32" s="442">
        <f>'Table 2'!AV31</f>
      </c>
      <c r="EB32" s="546"/>
      <c r="EC32" s="442">
        <f>'Table 2'!AX31</f>
      </c>
      <c r="ED32" s="442">
        <f>'Table 2'!AY31</f>
      </c>
      <c r="EE32" s="442">
        <f>'Table 2'!AZ31</f>
      </c>
      <c r="EF32" s="442">
        <f>'Table 2'!BA31</f>
      </c>
      <c r="EG32" s="442">
        <f>'Table 2'!BB31</f>
      </c>
      <c r="EH32" s="442">
        <f>'Table 2'!BC31</f>
      </c>
      <c r="EI32" s="442">
        <f>'Table 2'!BD31</f>
      </c>
      <c r="EJ32" s="442">
        <f>'Table 2'!BE31</f>
      </c>
      <c r="EK32" s="442">
        <f>'Table 2'!BF31</f>
      </c>
      <c r="EL32" s="442">
        <f>'Table 2'!BG31</f>
      </c>
      <c r="EM32" s="442">
        <f>'Table 2'!BH31</f>
      </c>
      <c r="EN32" s="546"/>
      <c r="EO32" s="434">
        <f t="shared" si="17"/>
        <v>0</v>
      </c>
    </row>
    <row r="33" spans="2:145" ht="12.75">
      <c r="B33" s="531">
        <v>24</v>
      </c>
      <c r="C33" s="531" t="s">
        <v>521</v>
      </c>
      <c r="D33" s="531">
        <v>2011</v>
      </c>
      <c r="E33" s="532"/>
      <c r="F33" s="532">
        <v>0</v>
      </c>
      <c r="G33" s="532"/>
      <c r="H33" s="532"/>
      <c r="I33" s="532">
        <v>0</v>
      </c>
      <c r="J33" s="532"/>
      <c r="K33" s="532">
        <v>0</v>
      </c>
      <c r="L33" s="532">
        <v>0</v>
      </c>
      <c r="M33" s="532"/>
      <c r="N33" s="532">
        <v>60</v>
      </c>
      <c r="O33" s="532">
        <v>59</v>
      </c>
      <c r="P33" s="532">
        <v>60</v>
      </c>
      <c r="Q33" s="532">
        <v>59</v>
      </c>
      <c r="R33" s="532"/>
      <c r="S33" s="532"/>
      <c r="T33" s="532"/>
      <c r="U33" s="532"/>
      <c r="V33" s="532"/>
      <c r="W33" s="532"/>
      <c r="X33" s="532"/>
      <c r="Y33" s="532"/>
      <c r="Z33" s="504"/>
      <c r="AA33" s="504"/>
      <c r="AB33" s="532">
        <f t="shared" si="2"/>
        <v>238</v>
      </c>
      <c r="AC33" s="532">
        <f t="shared" si="3"/>
        <v>515609.26</v>
      </c>
      <c r="AD33" s="532">
        <v>0</v>
      </c>
      <c r="AE33" s="532"/>
      <c r="AF33" s="532">
        <v>0</v>
      </c>
      <c r="AG33" s="532"/>
      <c r="AH33" s="561"/>
      <c r="AI33" s="532"/>
      <c r="AJ33" s="532">
        <f t="shared" si="4"/>
        <v>0</v>
      </c>
      <c r="AK33" s="539"/>
      <c r="AL33" s="540"/>
      <c r="AM33" s="562"/>
      <c r="AN33" s="562"/>
      <c r="AO33" s="542">
        <f t="shared" si="5"/>
        <v>0</v>
      </c>
      <c r="AP33" s="532">
        <v>22848</v>
      </c>
      <c r="AQ33" s="532">
        <v>6337</v>
      </c>
      <c r="AR33" s="532">
        <v>6092</v>
      </c>
      <c r="AS33" s="532"/>
      <c r="AT33" s="532">
        <v>0</v>
      </c>
      <c r="AU33" s="532">
        <f t="shared" si="6"/>
        <v>35277</v>
      </c>
      <c r="AV33" s="532">
        <v>13246</v>
      </c>
      <c r="AW33" s="532">
        <f t="shared" si="7"/>
        <v>3265</v>
      </c>
      <c r="AX33" s="532">
        <f t="shared" si="8"/>
        <v>16511</v>
      </c>
      <c r="AY33" s="532">
        <v>4374</v>
      </c>
      <c r="AZ33" s="532">
        <v>669</v>
      </c>
      <c r="BA33" s="532">
        <v>2290</v>
      </c>
      <c r="BB33" s="532"/>
      <c r="BC33" s="532">
        <f t="shared" si="9"/>
        <v>7333</v>
      </c>
      <c r="BD33" s="532">
        <v>73</v>
      </c>
      <c r="BE33" s="532">
        <v>0</v>
      </c>
      <c r="BF33" s="532">
        <v>0</v>
      </c>
      <c r="BG33" s="532">
        <v>996</v>
      </c>
      <c r="BH33" s="532">
        <v>3514</v>
      </c>
      <c r="BI33" s="532">
        <f t="shared" si="10"/>
        <v>4583</v>
      </c>
      <c r="BJ33" s="532">
        <v>9942</v>
      </c>
      <c r="BK33" s="532">
        <v>1381</v>
      </c>
      <c r="BL33" s="532">
        <v>32170</v>
      </c>
      <c r="BM33" s="532">
        <v>4644</v>
      </c>
      <c r="BN33" s="532">
        <f t="shared" si="11"/>
        <v>48137</v>
      </c>
      <c r="BO33" s="532">
        <v>80468</v>
      </c>
      <c r="BP33" s="532">
        <v>0</v>
      </c>
      <c r="BQ33" s="532"/>
      <c r="BR33" s="532">
        <v>5351</v>
      </c>
      <c r="BS33" s="532">
        <v>0</v>
      </c>
      <c r="BT33" s="532">
        <f t="shared" si="12"/>
        <v>85819</v>
      </c>
      <c r="BU33" s="532"/>
      <c r="BV33" s="532"/>
      <c r="BW33" s="532">
        <f t="shared" si="13"/>
        <v>0</v>
      </c>
      <c r="BX33" s="532">
        <v>0</v>
      </c>
      <c r="BY33" s="532">
        <f t="shared" si="14"/>
        <v>713269.26</v>
      </c>
      <c r="BZ33" s="543">
        <f t="shared" si="15"/>
        <v>1426538.52</v>
      </c>
      <c r="CA33" s="441">
        <f t="shared" si="16"/>
        <v>515609.26</v>
      </c>
      <c r="CC33" s="316">
        <v>0.43999999994412065</v>
      </c>
      <c r="DW33" s="483"/>
      <c r="DX33" s="442">
        <f>'Table 2'!AS32</f>
      </c>
      <c r="DY33" s="442">
        <f>'Table 2'!AT32</f>
      </c>
      <c r="DZ33" s="442">
        <f>'Table 2'!AU32</f>
      </c>
      <c r="EA33" s="442">
        <f>'Table 2'!AV32</f>
      </c>
      <c r="EB33" s="546"/>
      <c r="EC33" s="442">
        <f>'Table 2'!AX32</f>
      </c>
      <c r="ED33" s="442">
        <f>'Table 2'!AY32</f>
      </c>
      <c r="EE33" s="442">
        <f>'Table 2'!AZ32</f>
      </c>
      <c r="EF33" s="442">
        <f>'Table 2'!BA32</f>
      </c>
      <c r="EG33" s="442">
        <f>'Table 2'!BB32</f>
      </c>
      <c r="EH33" s="442">
        <f>'Table 2'!BC32</f>
      </c>
      <c r="EI33" s="442">
        <f>'Table 2'!BD32</f>
      </c>
      <c r="EJ33" s="442">
        <f>'Table 2'!BE32</f>
      </c>
      <c r="EK33" s="442">
        <f>'Table 2'!BF32</f>
      </c>
      <c r="EL33" s="442">
        <f>'Table 2'!BG32</f>
      </c>
      <c r="EM33" s="442">
        <f>'Table 2'!BH32</f>
      </c>
      <c r="EN33" s="546"/>
      <c r="EO33" s="434">
        <f t="shared" si="17"/>
        <v>0</v>
      </c>
    </row>
    <row r="34" spans="2:145" ht="12.75">
      <c r="B34" s="531">
        <v>25</v>
      </c>
      <c r="C34" s="531" t="s">
        <v>522</v>
      </c>
      <c r="D34" s="531">
        <v>2012</v>
      </c>
      <c r="E34" s="532"/>
      <c r="F34" s="532">
        <v>10</v>
      </c>
      <c r="G34" s="532"/>
      <c r="H34" s="532"/>
      <c r="I34" s="532">
        <v>30</v>
      </c>
      <c r="J34" s="532"/>
      <c r="K34" s="532">
        <v>30</v>
      </c>
      <c r="L34" s="532">
        <v>29</v>
      </c>
      <c r="M34" s="532"/>
      <c r="N34" s="532">
        <v>64</v>
      </c>
      <c r="O34" s="532">
        <v>65</v>
      </c>
      <c r="P34" s="532">
        <v>65</v>
      </c>
      <c r="Q34" s="532">
        <v>61</v>
      </c>
      <c r="R34" s="532"/>
      <c r="S34" s="532"/>
      <c r="T34" s="532"/>
      <c r="U34" s="532"/>
      <c r="V34" s="532"/>
      <c r="W34" s="532"/>
      <c r="X34" s="532"/>
      <c r="Y34" s="532"/>
      <c r="Z34" s="504"/>
      <c r="AA34" s="504"/>
      <c r="AB34" s="532">
        <f t="shared" si="2"/>
        <v>354</v>
      </c>
      <c r="AC34" s="532">
        <f t="shared" si="3"/>
        <v>767592.26</v>
      </c>
      <c r="AD34" s="532">
        <v>27416</v>
      </c>
      <c r="AE34" s="532"/>
      <c r="AF34" s="532">
        <v>0</v>
      </c>
      <c r="AG34" s="532"/>
      <c r="AH34" s="561"/>
      <c r="AI34" s="532"/>
      <c r="AJ34" s="532">
        <f t="shared" si="4"/>
        <v>27416</v>
      </c>
      <c r="AK34" s="539"/>
      <c r="AL34" s="540"/>
      <c r="AM34" s="562"/>
      <c r="AN34" s="562"/>
      <c r="AO34" s="542">
        <f t="shared" si="5"/>
        <v>0</v>
      </c>
      <c r="AP34" s="532">
        <v>22848</v>
      </c>
      <c r="AQ34" s="532">
        <v>14922</v>
      </c>
      <c r="AR34" s="532">
        <v>14346</v>
      </c>
      <c r="AS34" s="532"/>
      <c r="AT34" s="532">
        <v>48516</v>
      </c>
      <c r="AU34" s="532">
        <f t="shared" si="6"/>
        <v>100632</v>
      </c>
      <c r="AV34" s="532">
        <v>4661</v>
      </c>
      <c r="AW34" s="532">
        <f t="shared" si="7"/>
        <v>3265</v>
      </c>
      <c r="AX34" s="532">
        <f t="shared" si="8"/>
        <v>7926</v>
      </c>
      <c r="AY34" s="532">
        <v>10302</v>
      </c>
      <c r="AZ34" s="532">
        <v>7496</v>
      </c>
      <c r="BA34" s="532">
        <v>4876</v>
      </c>
      <c r="BB34" s="532"/>
      <c r="BC34" s="532">
        <f t="shared" si="9"/>
        <v>22674</v>
      </c>
      <c r="BD34" s="532">
        <v>1074</v>
      </c>
      <c r="BE34" s="532">
        <v>0</v>
      </c>
      <c r="BF34" s="532">
        <v>0</v>
      </c>
      <c r="BG34" s="532">
        <v>11150</v>
      </c>
      <c r="BH34" s="532">
        <v>7483</v>
      </c>
      <c r="BI34" s="532">
        <f t="shared" si="10"/>
        <v>19707</v>
      </c>
      <c r="BJ34" s="532">
        <v>16023</v>
      </c>
      <c r="BK34" s="532">
        <v>2120</v>
      </c>
      <c r="BL34" s="532">
        <v>64542</v>
      </c>
      <c r="BM34" s="532">
        <v>5211</v>
      </c>
      <c r="BN34" s="532">
        <f t="shared" si="11"/>
        <v>87896</v>
      </c>
      <c r="BO34" s="532">
        <v>81170</v>
      </c>
      <c r="BP34" s="532">
        <v>0</v>
      </c>
      <c r="BQ34" s="532"/>
      <c r="BR34" s="532">
        <v>10734</v>
      </c>
      <c r="BS34" s="532">
        <v>0</v>
      </c>
      <c r="BT34" s="532">
        <f t="shared" si="12"/>
        <v>91904</v>
      </c>
      <c r="BU34" s="532"/>
      <c r="BV34" s="532"/>
      <c r="BW34" s="532">
        <f t="shared" si="13"/>
        <v>0</v>
      </c>
      <c r="BX34" s="532">
        <v>0</v>
      </c>
      <c r="BY34" s="532">
        <f t="shared" si="14"/>
        <v>1125747.26</v>
      </c>
      <c r="BZ34" s="543">
        <f t="shared" si="15"/>
        <v>2251494.52</v>
      </c>
      <c r="CA34" s="441">
        <f t="shared" si="16"/>
        <v>767592.26</v>
      </c>
      <c r="CC34" s="316">
        <v>-0.31000000005587935</v>
      </c>
      <c r="DW34" s="483"/>
      <c r="DX34" s="442">
        <f>'Table 2'!AS33</f>
      </c>
      <c r="DY34" s="442">
        <f>'Table 2'!AT33</f>
      </c>
      <c r="DZ34" s="442">
        <f>'Table 2'!AU33</f>
      </c>
      <c r="EA34" s="442">
        <f>'Table 2'!AV33</f>
      </c>
      <c r="EB34" s="546"/>
      <c r="EC34" s="442">
        <f>'Table 2'!AX33</f>
      </c>
      <c r="ED34" s="442">
        <f>'Table 2'!AY33</f>
      </c>
      <c r="EE34" s="442">
        <f>'Table 2'!AZ33</f>
      </c>
      <c r="EF34" s="442">
        <f>'Table 2'!BA33</f>
      </c>
      <c r="EG34" s="442">
        <f>'Table 2'!BB33</f>
      </c>
      <c r="EH34" s="442">
        <f>'Table 2'!BC33</f>
      </c>
      <c r="EI34" s="442">
        <f>'Table 2'!BD33</f>
      </c>
      <c r="EJ34" s="442">
        <f>'Table 2'!BE33</f>
      </c>
      <c r="EK34" s="442">
        <f>'Table 2'!BF33</f>
      </c>
      <c r="EL34" s="442">
        <f>'Table 2'!BG33</f>
      </c>
      <c r="EM34" s="442">
        <f>'Table 2'!BH33</f>
      </c>
      <c r="EN34" s="546"/>
      <c r="EO34" s="434">
        <f t="shared" si="17"/>
        <v>0</v>
      </c>
    </row>
    <row r="35" spans="2:145" ht="12.75">
      <c r="B35" s="531">
        <v>28</v>
      </c>
      <c r="C35" s="531" t="s">
        <v>523</v>
      </c>
      <c r="D35" s="531">
        <v>2013</v>
      </c>
      <c r="E35" s="532"/>
      <c r="F35" s="532">
        <v>15</v>
      </c>
      <c r="G35" s="532"/>
      <c r="H35" s="532"/>
      <c r="I35" s="532">
        <v>30</v>
      </c>
      <c r="J35" s="532"/>
      <c r="K35" s="532">
        <v>30</v>
      </c>
      <c r="L35" s="532">
        <v>30</v>
      </c>
      <c r="M35" s="532"/>
      <c r="N35" s="532">
        <v>30</v>
      </c>
      <c r="O35" s="532">
        <v>30</v>
      </c>
      <c r="P35" s="532">
        <v>30</v>
      </c>
      <c r="Q35" s="532">
        <v>30</v>
      </c>
      <c r="R35" s="532"/>
      <c r="S35" s="532"/>
      <c r="T35" s="532"/>
      <c r="U35" s="532"/>
      <c r="V35" s="532"/>
      <c r="W35" s="532"/>
      <c r="X35" s="532"/>
      <c r="Y35" s="532"/>
      <c r="Z35" s="504"/>
      <c r="AA35" s="504"/>
      <c r="AB35" s="532">
        <f t="shared" si="2"/>
        <v>225</v>
      </c>
      <c r="AC35" s="532">
        <f t="shared" si="3"/>
        <v>478194.29999999993</v>
      </c>
      <c r="AD35" s="532">
        <v>37134</v>
      </c>
      <c r="AE35" s="532"/>
      <c r="AF35" s="532">
        <v>0</v>
      </c>
      <c r="AG35" s="532"/>
      <c r="AH35" s="561"/>
      <c r="AI35" s="532"/>
      <c r="AJ35" s="532">
        <f t="shared" si="4"/>
        <v>37134</v>
      </c>
      <c r="AK35" s="539"/>
      <c r="AL35" s="540"/>
      <c r="AM35" s="562"/>
      <c r="AN35" s="562"/>
      <c r="AO35" s="542">
        <f t="shared" si="5"/>
        <v>0</v>
      </c>
      <c r="AP35" s="532">
        <v>3264</v>
      </c>
      <c r="AQ35" s="532">
        <v>9507</v>
      </c>
      <c r="AR35" s="532">
        <v>9140</v>
      </c>
      <c r="AS35" s="532"/>
      <c r="AT35" s="532">
        <v>0</v>
      </c>
      <c r="AU35" s="532">
        <f t="shared" si="6"/>
        <v>21911</v>
      </c>
      <c r="AV35" s="532">
        <v>0</v>
      </c>
      <c r="AW35" s="532">
        <f t="shared" si="7"/>
        <v>3265</v>
      </c>
      <c r="AX35" s="532">
        <f t="shared" si="8"/>
        <v>3265</v>
      </c>
      <c r="AY35" s="532">
        <v>6563</v>
      </c>
      <c r="AZ35" s="532">
        <v>3748</v>
      </c>
      <c r="BA35" s="532">
        <v>2528</v>
      </c>
      <c r="BB35" s="532"/>
      <c r="BC35" s="532">
        <f t="shared" si="9"/>
        <v>12839</v>
      </c>
      <c r="BD35" s="532">
        <v>512</v>
      </c>
      <c r="BE35" s="532">
        <v>0</v>
      </c>
      <c r="BF35" s="532">
        <v>0</v>
      </c>
      <c r="BG35" s="532">
        <v>5575</v>
      </c>
      <c r="BH35" s="532">
        <v>3880</v>
      </c>
      <c r="BI35" s="532">
        <f t="shared" si="10"/>
        <v>9967</v>
      </c>
      <c r="BJ35" s="532">
        <v>9841</v>
      </c>
      <c r="BK35" s="532">
        <v>0</v>
      </c>
      <c r="BL35" s="532">
        <v>28802</v>
      </c>
      <c r="BM35" s="532">
        <v>1378</v>
      </c>
      <c r="BN35" s="532">
        <f t="shared" si="11"/>
        <v>40021</v>
      </c>
      <c r="BO35" s="532">
        <v>81170</v>
      </c>
      <c r="BP35" s="532">
        <v>19131</v>
      </c>
      <c r="BQ35" s="532"/>
      <c r="BR35" s="532">
        <v>4790</v>
      </c>
      <c r="BS35" s="532">
        <v>0</v>
      </c>
      <c r="BT35" s="532">
        <f t="shared" si="12"/>
        <v>105091</v>
      </c>
      <c r="BU35" s="532"/>
      <c r="BV35" s="532"/>
      <c r="BW35" s="532">
        <f t="shared" si="13"/>
        <v>0</v>
      </c>
      <c r="BX35" s="532">
        <v>0</v>
      </c>
      <c r="BY35" s="532">
        <f t="shared" si="14"/>
        <v>708422.2999999999</v>
      </c>
      <c r="BZ35" s="543">
        <f t="shared" si="15"/>
        <v>1416844.5999999999</v>
      </c>
      <c r="CA35" s="441">
        <f t="shared" si="16"/>
        <v>478194.29999999993</v>
      </c>
      <c r="CC35" s="316">
        <v>0.07999999984167516</v>
      </c>
      <c r="DW35" s="483"/>
      <c r="DX35" s="442">
        <f>'Table 2'!AS34</f>
      </c>
      <c r="DY35" s="442">
        <f>'Table 2'!AT34</f>
      </c>
      <c r="DZ35" s="442">
        <f>'Table 2'!AU34</f>
      </c>
      <c r="EA35" s="442">
        <f>'Table 2'!AV34</f>
      </c>
      <c r="EB35" s="546"/>
      <c r="EC35" s="442">
        <f>'Table 2'!AX34</f>
      </c>
      <c r="ED35" s="442">
        <f>'Table 2'!AY34</f>
      </c>
      <c r="EE35" s="442">
        <f>'Table 2'!AZ34</f>
      </c>
      <c r="EF35" s="442">
        <f>'Table 2'!BA34</f>
      </c>
      <c r="EG35" s="442">
        <f>'Table 2'!BB34</f>
      </c>
      <c r="EH35" s="442">
        <f>'Table 2'!BC34</f>
      </c>
      <c r="EI35" s="442">
        <f>'Table 2'!BD34</f>
      </c>
      <c r="EJ35" s="442">
        <f>'Table 2'!BE34</f>
      </c>
      <c r="EK35" s="442">
        <f>'Table 2'!BF34</f>
      </c>
      <c r="EL35" s="442">
        <f>'Table 2'!BG34</f>
      </c>
      <c r="EM35" s="442">
        <f>'Table 2'!BH34</f>
      </c>
      <c r="EN35" s="546"/>
      <c r="EO35" s="434">
        <f t="shared" si="17"/>
        <v>0</v>
      </c>
    </row>
    <row r="36" spans="2:145" ht="12.75">
      <c r="B36" s="531">
        <v>44</v>
      </c>
      <c r="C36" s="531" t="s">
        <v>524</v>
      </c>
      <c r="D36" s="531">
        <v>2017</v>
      </c>
      <c r="E36" s="532"/>
      <c r="F36" s="532">
        <v>0</v>
      </c>
      <c r="G36" s="532"/>
      <c r="H36" s="532"/>
      <c r="I36" s="532">
        <v>0</v>
      </c>
      <c r="J36" s="532"/>
      <c r="K36" s="532">
        <v>0</v>
      </c>
      <c r="L36" s="532">
        <v>0</v>
      </c>
      <c r="M36" s="532"/>
      <c r="N36" s="532">
        <v>90</v>
      </c>
      <c r="O36" s="532">
        <v>91</v>
      </c>
      <c r="P36" s="532">
        <v>88</v>
      </c>
      <c r="Q36" s="532">
        <v>90</v>
      </c>
      <c r="R36" s="532"/>
      <c r="S36" s="532"/>
      <c r="T36" s="532"/>
      <c r="U36" s="532"/>
      <c r="V36" s="532"/>
      <c r="W36" s="532"/>
      <c r="X36" s="532"/>
      <c r="Y36" s="532"/>
      <c r="Z36" s="504"/>
      <c r="AA36" s="504"/>
      <c r="AB36" s="532">
        <f t="shared" si="2"/>
        <v>359</v>
      </c>
      <c r="AC36" s="532">
        <f t="shared" si="3"/>
        <v>777707.03</v>
      </c>
      <c r="AD36" s="532">
        <v>0</v>
      </c>
      <c r="AE36" s="532"/>
      <c r="AF36" s="532">
        <v>0</v>
      </c>
      <c r="AG36" s="532"/>
      <c r="AH36" s="561"/>
      <c r="AI36" s="532"/>
      <c r="AJ36" s="532">
        <f t="shared" si="4"/>
        <v>0</v>
      </c>
      <c r="AK36" s="539"/>
      <c r="AL36" s="540"/>
      <c r="AM36" s="562"/>
      <c r="AN36" s="562"/>
      <c r="AO36" s="542">
        <f t="shared" si="5"/>
        <v>0</v>
      </c>
      <c r="AP36" s="532">
        <v>18496</v>
      </c>
      <c r="AQ36" s="532">
        <v>7380</v>
      </c>
      <c r="AR36" s="532">
        <v>7094</v>
      </c>
      <c r="AS36" s="532"/>
      <c r="AT36" s="532">
        <v>0</v>
      </c>
      <c r="AU36" s="532">
        <f t="shared" si="6"/>
        <v>32970</v>
      </c>
      <c r="AV36" s="532">
        <v>7851</v>
      </c>
      <c r="AW36" s="532">
        <f t="shared" si="7"/>
        <v>3265</v>
      </c>
      <c r="AX36" s="532">
        <f t="shared" si="8"/>
        <v>11116</v>
      </c>
      <c r="AY36" s="532">
        <v>5095</v>
      </c>
      <c r="AZ36" s="532">
        <v>937</v>
      </c>
      <c r="BA36" s="532">
        <v>2184</v>
      </c>
      <c r="BB36" s="532"/>
      <c r="BC36" s="532">
        <f t="shared" si="9"/>
        <v>8216</v>
      </c>
      <c r="BD36" s="532">
        <v>146</v>
      </c>
      <c r="BE36" s="532">
        <v>0</v>
      </c>
      <c r="BF36" s="532">
        <v>0</v>
      </c>
      <c r="BG36" s="532">
        <v>1394</v>
      </c>
      <c r="BH36" s="532">
        <v>3351</v>
      </c>
      <c r="BI36" s="532">
        <f t="shared" si="10"/>
        <v>4891</v>
      </c>
      <c r="BJ36" s="532">
        <v>16653</v>
      </c>
      <c r="BK36" s="532">
        <v>1150</v>
      </c>
      <c r="BL36" s="532">
        <v>34748</v>
      </c>
      <c r="BM36" s="532">
        <v>5857</v>
      </c>
      <c r="BN36" s="532">
        <f t="shared" si="11"/>
        <v>58408</v>
      </c>
      <c r="BO36" s="532">
        <v>80468</v>
      </c>
      <c r="BP36" s="532">
        <v>0</v>
      </c>
      <c r="BQ36" s="532"/>
      <c r="BR36" s="532">
        <v>5779</v>
      </c>
      <c r="BS36" s="532">
        <v>0</v>
      </c>
      <c r="BT36" s="532">
        <f t="shared" si="12"/>
        <v>86247</v>
      </c>
      <c r="BU36" s="532"/>
      <c r="BV36" s="532"/>
      <c r="BW36" s="532">
        <f t="shared" si="13"/>
        <v>0</v>
      </c>
      <c r="BX36" s="532">
        <v>0</v>
      </c>
      <c r="BY36" s="532">
        <f t="shared" si="14"/>
        <v>979555.03</v>
      </c>
      <c r="BZ36" s="543">
        <f t="shared" si="15"/>
        <v>1959110.06</v>
      </c>
      <c r="CA36" s="441">
        <f t="shared" si="16"/>
        <v>777707.03</v>
      </c>
      <c r="CC36" s="316">
        <v>0.10000000009313226</v>
      </c>
      <c r="DW36" s="483"/>
      <c r="DX36" s="442">
        <f>'Table 2'!AS35</f>
      </c>
      <c r="DY36" s="442">
        <f>'Table 2'!AT35</f>
      </c>
      <c r="DZ36" s="442">
        <f>'Table 2'!AU35</f>
      </c>
      <c r="EA36" s="442">
        <f>'Table 2'!AV35</f>
      </c>
      <c r="EB36" s="546"/>
      <c r="EC36" s="442">
        <f>'Table 2'!AX35</f>
      </c>
      <c r="ED36" s="442">
        <f>'Table 2'!AY35</f>
      </c>
      <c r="EE36" s="442">
        <f>'Table 2'!AZ35</f>
      </c>
      <c r="EF36" s="442">
        <f>'Table 2'!BA35</f>
      </c>
      <c r="EG36" s="442">
        <f>'Table 2'!BB35</f>
      </c>
      <c r="EH36" s="442">
        <f>'Table 2'!BC35</f>
      </c>
      <c r="EI36" s="442">
        <f>'Table 2'!BD35</f>
      </c>
      <c r="EJ36" s="442">
        <f>'Table 2'!BE35</f>
      </c>
      <c r="EK36" s="442">
        <f>'Table 2'!BF35</f>
      </c>
      <c r="EL36" s="442">
        <f>'Table 2'!BG35</f>
      </c>
      <c r="EM36" s="442">
        <f>'Table 2'!BH35</f>
      </c>
      <c r="EN36" s="546"/>
      <c r="EO36" s="434">
        <f t="shared" si="17"/>
        <v>0</v>
      </c>
    </row>
    <row r="37" spans="2:145" ht="12.75">
      <c r="B37" s="531">
        <v>45</v>
      </c>
      <c r="C37" s="531" t="s">
        <v>525</v>
      </c>
      <c r="D37" s="531">
        <v>2019</v>
      </c>
      <c r="E37" s="532"/>
      <c r="F37" s="532">
        <v>0</v>
      </c>
      <c r="G37" s="532"/>
      <c r="H37" s="532"/>
      <c r="I37" s="532">
        <v>0</v>
      </c>
      <c r="J37" s="532"/>
      <c r="K37" s="532">
        <v>0</v>
      </c>
      <c r="L37" s="532">
        <v>0</v>
      </c>
      <c r="M37" s="532"/>
      <c r="N37" s="532">
        <v>66</v>
      </c>
      <c r="O37" s="532">
        <v>73</v>
      </c>
      <c r="P37" s="532">
        <v>66</v>
      </c>
      <c r="Q37" s="532">
        <v>87</v>
      </c>
      <c r="R37" s="532"/>
      <c r="S37" s="532"/>
      <c r="T37" s="532"/>
      <c r="U37" s="532"/>
      <c r="V37" s="532"/>
      <c r="W37" s="532"/>
      <c r="X37" s="532"/>
      <c r="Y37" s="532"/>
      <c r="Z37" s="504"/>
      <c r="AA37" s="504"/>
      <c r="AB37" s="532">
        <f t="shared" si="2"/>
        <v>292</v>
      </c>
      <c r="AC37" s="532">
        <f t="shared" si="3"/>
        <v>631996.6000000001</v>
      </c>
      <c r="AD37" s="532">
        <v>0</v>
      </c>
      <c r="AE37" s="532"/>
      <c r="AF37" s="532">
        <v>0</v>
      </c>
      <c r="AG37" s="532"/>
      <c r="AH37" s="561"/>
      <c r="AI37" s="532"/>
      <c r="AJ37" s="532">
        <f t="shared" si="4"/>
        <v>0</v>
      </c>
      <c r="AK37" s="539"/>
      <c r="AL37" s="540"/>
      <c r="AM37" s="562"/>
      <c r="AN37" s="562"/>
      <c r="AO37" s="542">
        <f t="shared" si="5"/>
        <v>0</v>
      </c>
      <c r="AP37" s="532">
        <v>26112</v>
      </c>
      <c r="AQ37" s="532">
        <v>11002</v>
      </c>
      <c r="AR37" s="532">
        <v>10577</v>
      </c>
      <c r="AS37" s="532"/>
      <c r="AT37" s="532">
        <v>0</v>
      </c>
      <c r="AU37" s="532">
        <f t="shared" si="6"/>
        <v>47691</v>
      </c>
      <c r="AV37" s="532">
        <v>11845</v>
      </c>
      <c r="AW37" s="532">
        <f t="shared" si="7"/>
        <v>3265</v>
      </c>
      <c r="AX37" s="532">
        <f t="shared" si="8"/>
        <v>15110</v>
      </c>
      <c r="AY37" s="532">
        <v>7596</v>
      </c>
      <c r="AZ37" s="532">
        <v>3748</v>
      </c>
      <c r="BA37" s="532">
        <v>3066</v>
      </c>
      <c r="BB37" s="532"/>
      <c r="BC37" s="532">
        <f t="shared" si="9"/>
        <v>14410</v>
      </c>
      <c r="BD37" s="532">
        <v>439</v>
      </c>
      <c r="BE37" s="532">
        <v>0</v>
      </c>
      <c r="BF37" s="532">
        <v>0</v>
      </c>
      <c r="BG37" s="532">
        <v>5575</v>
      </c>
      <c r="BH37" s="532">
        <v>4706</v>
      </c>
      <c r="BI37" s="532">
        <f t="shared" si="10"/>
        <v>10720</v>
      </c>
      <c r="BJ37" s="532">
        <v>11355</v>
      </c>
      <c r="BK37" s="532">
        <v>1916</v>
      </c>
      <c r="BL37" s="532">
        <v>41545</v>
      </c>
      <c r="BM37" s="532">
        <v>5716</v>
      </c>
      <c r="BN37" s="532">
        <f t="shared" si="11"/>
        <v>60532</v>
      </c>
      <c r="BO37" s="532">
        <v>80468</v>
      </c>
      <c r="BP37" s="532">
        <v>0</v>
      </c>
      <c r="BQ37" s="532"/>
      <c r="BR37" s="532">
        <v>6910</v>
      </c>
      <c r="BS37" s="532">
        <v>0</v>
      </c>
      <c r="BT37" s="532">
        <f t="shared" si="12"/>
        <v>87378</v>
      </c>
      <c r="BU37" s="532"/>
      <c r="BV37" s="532"/>
      <c r="BW37" s="532">
        <f t="shared" si="13"/>
        <v>0</v>
      </c>
      <c r="BX37" s="532">
        <v>0</v>
      </c>
      <c r="BY37" s="532">
        <f t="shared" si="14"/>
        <v>867837.6000000001</v>
      </c>
      <c r="BZ37" s="543">
        <f t="shared" si="15"/>
        <v>1735675.2000000002</v>
      </c>
      <c r="CA37" s="441">
        <f t="shared" si="16"/>
        <v>631996.6000000001</v>
      </c>
      <c r="CC37" s="316">
        <v>0.10000000009313226</v>
      </c>
      <c r="DW37" s="483"/>
      <c r="DX37" s="442">
        <f>'Table 2'!AS36</f>
      </c>
      <c r="DY37" s="442">
        <f>'Table 2'!AT36</f>
      </c>
      <c r="DZ37" s="442">
        <f>'Table 2'!AU36</f>
      </c>
      <c r="EA37" s="442">
        <f>'Table 2'!AV36</f>
      </c>
      <c r="EB37" s="546"/>
      <c r="EC37" s="442">
        <f>'Table 2'!AX36</f>
      </c>
      <c r="ED37" s="442">
        <f>'Table 2'!AY36</f>
      </c>
      <c r="EE37" s="442">
        <f>'Table 2'!AZ36</f>
      </c>
      <c r="EF37" s="442">
        <f>'Table 2'!BA36</f>
      </c>
      <c r="EG37" s="442">
        <f>'Table 2'!BB36</f>
      </c>
      <c r="EH37" s="442">
        <f>'Table 2'!BC36</f>
      </c>
      <c r="EI37" s="442">
        <f>'Table 2'!BD36</f>
      </c>
      <c r="EJ37" s="442">
        <f>'Table 2'!BE36</f>
      </c>
      <c r="EK37" s="442">
        <f>'Table 2'!BF36</f>
      </c>
      <c r="EL37" s="442">
        <f>'Table 2'!BG36</f>
      </c>
      <c r="EM37" s="442">
        <f>'Table 2'!BH36</f>
      </c>
      <c r="EN37" s="546"/>
      <c r="EO37" s="434">
        <f t="shared" si="17"/>
        <v>0</v>
      </c>
    </row>
    <row r="38" spans="2:145" ht="12.75">
      <c r="B38" s="531">
        <v>59</v>
      </c>
      <c r="C38" s="531" t="s">
        <v>526</v>
      </c>
      <c r="D38" s="531">
        <v>2020</v>
      </c>
      <c r="E38" s="532"/>
      <c r="F38" s="532">
        <v>24</v>
      </c>
      <c r="G38" s="532"/>
      <c r="H38" s="532"/>
      <c r="I38" s="532">
        <v>60</v>
      </c>
      <c r="J38" s="532"/>
      <c r="K38" s="532">
        <v>60</v>
      </c>
      <c r="L38" s="532">
        <v>60</v>
      </c>
      <c r="M38" s="532"/>
      <c r="N38" s="532">
        <v>0</v>
      </c>
      <c r="O38" s="532">
        <v>0</v>
      </c>
      <c r="P38" s="532">
        <v>0</v>
      </c>
      <c r="Q38" s="532">
        <v>0</v>
      </c>
      <c r="R38" s="532"/>
      <c r="S38" s="532"/>
      <c r="T38" s="532"/>
      <c r="U38" s="532"/>
      <c r="V38" s="532"/>
      <c r="W38" s="532"/>
      <c r="X38" s="532"/>
      <c r="Y38" s="532"/>
      <c r="Z38" s="504"/>
      <c r="AA38" s="504"/>
      <c r="AB38" s="532">
        <f t="shared" si="2"/>
        <v>204</v>
      </c>
      <c r="AC38" s="532">
        <f t="shared" si="3"/>
        <v>435446.87999999995</v>
      </c>
      <c r="AD38" s="532">
        <v>74268</v>
      </c>
      <c r="AE38" s="532"/>
      <c r="AF38" s="532">
        <v>0</v>
      </c>
      <c r="AG38" s="532"/>
      <c r="AH38" s="561"/>
      <c r="AI38" s="532"/>
      <c r="AJ38" s="532">
        <f t="shared" si="4"/>
        <v>74268</v>
      </c>
      <c r="AK38" s="539"/>
      <c r="AL38" s="540"/>
      <c r="AM38" s="562"/>
      <c r="AN38" s="562"/>
      <c r="AO38" s="542">
        <f t="shared" si="5"/>
        <v>0</v>
      </c>
      <c r="AP38" s="532">
        <v>6528</v>
      </c>
      <c r="AQ38" s="532">
        <v>9729</v>
      </c>
      <c r="AR38" s="532">
        <v>9353</v>
      </c>
      <c r="AS38" s="532"/>
      <c r="AT38" s="532">
        <v>0</v>
      </c>
      <c r="AU38" s="532">
        <f t="shared" si="6"/>
        <v>25610</v>
      </c>
      <c r="AV38" s="532">
        <v>0</v>
      </c>
      <c r="AW38" s="532">
        <f t="shared" si="7"/>
        <v>3265</v>
      </c>
      <c r="AX38" s="532">
        <f t="shared" si="8"/>
        <v>3265</v>
      </c>
      <c r="AY38" s="532">
        <v>6716</v>
      </c>
      <c r="AZ38" s="532">
        <v>535</v>
      </c>
      <c r="BA38" s="532">
        <v>1511</v>
      </c>
      <c r="BB38" s="532"/>
      <c r="BC38" s="532">
        <f t="shared" si="9"/>
        <v>8762</v>
      </c>
      <c r="BD38" s="532">
        <v>98</v>
      </c>
      <c r="BE38" s="532">
        <v>0</v>
      </c>
      <c r="BF38" s="532">
        <v>0</v>
      </c>
      <c r="BG38" s="532">
        <v>796</v>
      </c>
      <c r="BH38" s="532">
        <v>2319</v>
      </c>
      <c r="BI38" s="532">
        <f t="shared" si="10"/>
        <v>3213</v>
      </c>
      <c r="BJ38" s="532">
        <v>9336</v>
      </c>
      <c r="BK38" s="532">
        <v>868</v>
      </c>
      <c r="BL38" s="532">
        <v>33049</v>
      </c>
      <c r="BM38" s="532">
        <v>1874</v>
      </c>
      <c r="BN38" s="532">
        <f t="shared" si="11"/>
        <v>45127</v>
      </c>
      <c r="BO38" s="532">
        <v>81170</v>
      </c>
      <c r="BP38" s="532">
        <v>0</v>
      </c>
      <c r="BQ38" s="532"/>
      <c r="BR38" s="532">
        <v>5497</v>
      </c>
      <c r="BS38" s="532">
        <v>0</v>
      </c>
      <c r="BT38" s="532">
        <f t="shared" si="12"/>
        <v>86667</v>
      </c>
      <c r="BU38" s="532"/>
      <c r="BV38" s="532"/>
      <c r="BW38" s="532">
        <f t="shared" si="13"/>
        <v>0</v>
      </c>
      <c r="BX38" s="532">
        <v>0</v>
      </c>
      <c r="BY38" s="532">
        <f t="shared" si="14"/>
        <v>682358.8799999999</v>
      </c>
      <c r="BZ38" s="543">
        <f t="shared" si="15"/>
        <v>1364717.7599999998</v>
      </c>
      <c r="CA38" s="441">
        <f t="shared" si="16"/>
        <v>435446.87999999995</v>
      </c>
      <c r="CC38" s="316">
        <v>-0.2800000000279397</v>
      </c>
      <c r="DW38" s="483"/>
      <c r="DX38" s="442">
        <f>'Table 2'!AS37</f>
      </c>
      <c r="DY38" s="442">
        <f>'Table 2'!AT37</f>
      </c>
      <c r="DZ38" s="442">
        <f>'Table 2'!AU37</f>
      </c>
      <c r="EA38" s="442">
        <f>'Table 2'!AV37</f>
      </c>
      <c r="EB38" s="546"/>
      <c r="EC38" s="442">
        <f>'Table 2'!AX37</f>
      </c>
      <c r="ED38" s="442">
        <f>'Table 2'!AY37</f>
      </c>
      <c r="EE38" s="442">
        <f>'Table 2'!AZ37</f>
      </c>
      <c r="EF38" s="442">
        <f>'Table 2'!BA37</f>
      </c>
      <c r="EG38" s="442">
        <f>'Table 2'!BB37</f>
      </c>
      <c r="EH38" s="442">
        <f>'Table 2'!BC37</f>
      </c>
      <c r="EI38" s="442">
        <f>'Table 2'!BD37</f>
      </c>
      <c r="EJ38" s="442">
        <f>'Table 2'!BE37</f>
      </c>
      <c r="EK38" s="442">
        <f>'Table 2'!BF37</f>
      </c>
      <c r="EL38" s="442">
        <f>'Table 2'!BG37</f>
      </c>
      <c r="EM38" s="442">
        <f>'Table 2'!BH37</f>
      </c>
      <c r="EN38" s="546"/>
      <c r="EO38" s="434">
        <f t="shared" si="17"/>
        <v>0</v>
      </c>
    </row>
    <row r="39" spans="2:145" ht="12.75">
      <c r="B39" s="531">
        <v>62</v>
      </c>
      <c r="C39" s="531" t="s">
        <v>527</v>
      </c>
      <c r="D39" s="531">
        <v>2024</v>
      </c>
      <c r="E39" s="532"/>
      <c r="F39" s="532">
        <v>30</v>
      </c>
      <c r="G39" s="532"/>
      <c r="H39" s="532"/>
      <c r="I39" s="532">
        <v>60</v>
      </c>
      <c r="J39" s="532"/>
      <c r="K39" s="532">
        <v>54</v>
      </c>
      <c r="L39" s="532">
        <v>52</v>
      </c>
      <c r="M39" s="532"/>
      <c r="N39" s="532">
        <v>0</v>
      </c>
      <c r="O39" s="532">
        <v>0</v>
      </c>
      <c r="P39" s="532">
        <v>0</v>
      </c>
      <c r="Q39" s="532">
        <v>0</v>
      </c>
      <c r="R39" s="532"/>
      <c r="S39" s="532"/>
      <c r="T39" s="532"/>
      <c r="U39" s="532"/>
      <c r="V39" s="532"/>
      <c r="W39" s="532"/>
      <c r="X39" s="532"/>
      <c r="Y39" s="532"/>
      <c r="Z39" s="504"/>
      <c r="AA39" s="504"/>
      <c r="AB39" s="532">
        <f t="shared" si="2"/>
        <v>196</v>
      </c>
      <c r="AC39" s="532">
        <f t="shared" si="3"/>
        <v>405675.98000000004</v>
      </c>
      <c r="AD39" s="532">
        <v>74268</v>
      </c>
      <c r="AE39" s="532"/>
      <c r="AF39" s="532">
        <v>2360</v>
      </c>
      <c r="AG39" s="532"/>
      <c r="AH39" s="561"/>
      <c r="AI39" s="532"/>
      <c r="AJ39" s="532">
        <f t="shared" si="4"/>
        <v>76628</v>
      </c>
      <c r="AK39" s="539"/>
      <c r="AL39" s="540"/>
      <c r="AM39" s="562"/>
      <c r="AN39" s="562"/>
      <c r="AO39" s="542">
        <f t="shared" si="5"/>
        <v>0</v>
      </c>
      <c r="AP39" s="532">
        <v>0</v>
      </c>
      <c r="AQ39" s="532">
        <v>5587</v>
      </c>
      <c r="AR39" s="532">
        <v>5371</v>
      </c>
      <c r="AS39" s="532"/>
      <c r="AT39" s="532">
        <v>0</v>
      </c>
      <c r="AU39" s="532">
        <f t="shared" si="6"/>
        <v>10958</v>
      </c>
      <c r="AV39" s="532">
        <v>0</v>
      </c>
      <c r="AW39" s="532">
        <f t="shared" si="7"/>
        <v>3265</v>
      </c>
      <c r="AX39" s="532">
        <f t="shared" si="8"/>
        <v>3265</v>
      </c>
      <c r="AY39" s="532">
        <v>3857</v>
      </c>
      <c r="AZ39" s="532">
        <v>2275</v>
      </c>
      <c r="BA39" s="532">
        <v>2078</v>
      </c>
      <c r="BB39" s="532"/>
      <c r="BC39" s="532">
        <f t="shared" si="9"/>
        <v>8210</v>
      </c>
      <c r="BD39" s="532">
        <v>293</v>
      </c>
      <c r="BE39" s="532">
        <v>0</v>
      </c>
      <c r="BF39" s="532">
        <v>0</v>
      </c>
      <c r="BG39" s="532">
        <v>3385</v>
      </c>
      <c r="BH39" s="532">
        <v>3189</v>
      </c>
      <c r="BI39" s="532">
        <f t="shared" si="10"/>
        <v>6867</v>
      </c>
      <c r="BJ39" s="532">
        <v>8074</v>
      </c>
      <c r="BK39" s="532">
        <v>691</v>
      </c>
      <c r="BL39" s="532">
        <v>26280</v>
      </c>
      <c r="BM39" s="532">
        <v>3084</v>
      </c>
      <c r="BN39" s="532">
        <f t="shared" si="11"/>
        <v>38129</v>
      </c>
      <c r="BO39" s="532">
        <v>81170</v>
      </c>
      <c r="BP39" s="532">
        <v>7557</v>
      </c>
      <c r="BQ39" s="532"/>
      <c r="BR39" s="532">
        <v>4371</v>
      </c>
      <c r="BS39" s="532">
        <v>0</v>
      </c>
      <c r="BT39" s="532">
        <f t="shared" si="12"/>
        <v>93098</v>
      </c>
      <c r="BU39" s="532"/>
      <c r="BV39" s="532"/>
      <c r="BW39" s="532">
        <f t="shared" si="13"/>
        <v>0</v>
      </c>
      <c r="BX39" s="532">
        <v>0</v>
      </c>
      <c r="BY39" s="532">
        <f t="shared" si="14"/>
        <v>642830.98</v>
      </c>
      <c r="BZ39" s="543">
        <f t="shared" si="15"/>
        <v>1285661.96</v>
      </c>
      <c r="CA39" s="441">
        <f t="shared" si="16"/>
        <v>405675.98000000004</v>
      </c>
      <c r="CC39" s="316">
        <v>-0.536666666623205</v>
      </c>
      <c r="DW39" s="483"/>
      <c r="DX39" s="442">
        <f>'Table 2'!AS38</f>
      </c>
      <c r="DY39" s="442">
        <f>'Table 2'!AT38</f>
      </c>
      <c r="DZ39" s="442">
        <f>'Table 2'!AU38</f>
      </c>
      <c r="EA39" s="442">
        <f>'Table 2'!AV38</f>
      </c>
      <c r="EB39" s="546"/>
      <c r="EC39" s="442">
        <f>'Table 2'!AX38</f>
      </c>
      <c r="ED39" s="442">
        <f>'Table 2'!AY38</f>
      </c>
      <c r="EE39" s="442">
        <f>'Table 2'!AZ38</f>
      </c>
      <c r="EF39" s="442">
        <f>'Table 2'!BA38</f>
      </c>
      <c r="EG39" s="442">
        <f>'Table 2'!BB38</f>
      </c>
      <c r="EH39" s="442">
        <f>'Table 2'!BC38</f>
      </c>
      <c r="EI39" s="442">
        <f>'Table 2'!BD38</f>
      </c>
      <c r="EJ39" s="442">
        <f>'Table 2'!BE38</f>
      </c>
      <c r="EK39" s="442">
        <f>'Table 2'!BF38</f>
      </c>
      <c r="EL39" s="442">
        <f>'Table 2'!BG38</f>
      </c>
      <c r="EM39" s="442">
        <f>'Table 2'!BH38</f>
      </c>
      <c r="EN39" s="546"/>
      <c r="EO39" s="434">
        <f t="shared" si="17"/>
        <v>0</v>
      </c>
    </row>
    <row r="40" spans="2:145" ht="12.75">
      <c r="B40" s="531">
        <v>65</v>
      </c>
      <c r="C40" s="531" t="s">
        <v>528</v>
      </c>
      <c r="D40" s="531">
        <v>2026</v>
      </c>
      <c r="E40" s="532"/>
      <c r="F40" s="532">
        <v>17.5</v>
      </c>
      <c r="G40" s="532"/>
      <c r="H40" s="532"/>
      <c r="I40" s="532">
        <v>60</v>
      </c>
      <c r="J40" s="532"/>
      <c r="K40" s="532">
        <v>58</v>
      </c>
      <c r="L40" s="532">
        <v>41</v>
      </c>
      <c r="M40" s="532"/>
      <c r="N40" s="532">
        <v>0</v>
      </c>
      <c r="O40" s="532">
        <v>0</v>
      </c>
      <c r="P40" s="532">
        <v>0</v>
      </c>
      <c r="Q40" s="532">
        <v>0</v>
      </c>
      <c r="R40" s="532"/>
      <c r="S40" s="532"/>
      <c r="T40" s="532"/>
      <c r="U40" s="532"/>
      <c r="V40" s="532"/>
      <c r="W40" s="532"/>
      <c r="X40" s="532"/>
      <c r="Y40" s="532"/>
      <c r="Z40" s="504"/>
      <c r="AA40" s="504"/>
      <c r="AB40" s="532">
        <f t="shared" si="2"/>
        <v>176.5</v>
      </c>
      <c r="AC40" s="532">
        <f t="shared" si="3"/>
        <v>388105.62</v>
      </c>
      <c r="AD40" s="532">
        <v>54834</v>
      </c>
      <c r="AE40" s="532"/>
      <c r="AF40" s="532">
        <v>10620</v>
      </c>
      <c r="AG40" s="532"/>
      <c r="AH40" s="561"/>
      <c r="AI40" s="532"/>
      <c r="AJ40" s="532">
        <f t="shared" si="4"/>
        <v>65454</v>
      </c>
      <c r="AK40" s="539"/>
      <c r="AL40" s="540"/>
      <c r="AM40" s="562"/>
      <c r="AN40" s="562"/>
      <c r="AO40" s="542">
        <f t="shared" si="5"/>
        <v>0</v>
      </c>
      <c r="AP40" s="532">
        <v>5440</v>
      </c>
      <c r="AQ40" s="532">
        <v>4766</v>
      </c>
      <c r="AR40" s="532">
        <v>4582</v>
      </c>
      <c r="AS40" s="532"/>
      <c r="AT40" s="532">
        <v>0</v>
      </c>
      <c r="AU40" s="532">
        <f t="shared" si="6"/>
        <v>14788</v>
      </c>
      <c r="AV40" s="532">
        <v>0</v>
      </c>
      <c r="AW40" s="532">
        <f t="shared" si="7"/>
        <v>3265</v>
      </c>
      <c r="AX40" s="532">
        <f t="shared" si="8"/>
        <v>3265</v>
      </c>
      <c r="AY40" s="532">
        <v>3290</v>
      </c>
      <c r="AZ40" s="532">
        <v>2142</v>
      </c>
      <c r="BA40" s="532">
        <v>2129</v>
      </c>
      <c r="BB40" s="532"/>
      <c r="BC40" s="532">
        <f t="shared" si="9"/>
        <v>7561</v>
      </c>
      <c r="BD40" s="532">
        <v>293</v>
      </c>
      <c r="BE40" s="532">
        <v>0</v>
      </c>
      <c r="BF40" s="532">
        <v>0</v>
      </c>
      <c r="BG40" s="532">
        <v>3186</v>
      </c>
      <c r="BH40" s="532">
        <v>3268</v>
      </c>
      <c r="BI40" s="532">
        <f t="shared" si="10"/>
        <v>6747</v>
      </c>
      <c r="BJ40" s="532">
        <v>7696</v>
      </c>
      <c r="BK40" s="532">
        <v>1061</v>
      </c>
      <c r="BL40" s="532">
        <v>27329</v>
      </c>
      <c r="BM40" s="532">
        <v>1414</v>
      </c>
      <c r="BN40" s="532">
        <f t="shared" si="11"/>
        <v>37500</v>
      </c>
      <c r="BO40" s="532">
        <v>81170</v>
      </c>
      <c r="BP40" s="532">
        <v>12869</v>
      </c>
      <c r="BQ40" s="532"/>
      <c r="BR40" s="532">
        <v>4545</v>
      </c>
      <c r="BS40" s="532">
        <v>0</v>
      </c>
      <c r="BT40" s="532">
        <f t="shared" si="12"/>
        <v>98584</v>
      </c>
      <c r="BU40" s="532"/>
      <c r="BV40" s="532"/>
      <c r="BW40" s="532">
        <f t="shared" si="13"/>
        <v>0</v>
      </c>
      <c r="BX40" s="532">
        <v>0</v>
      </c>
      <c r="BY40" s="532">
        <f t="shared" si="14"/>
        <v>622004.62</v>
      </c>
      <c r="BZ40" s="543">
        <f t="shared" si="15"/>
        <v>1244009.24</v>
      </c>
      <c r="CA40" s="441">
        <f t="shared" si="16"/>
        <v>388105.62</v>
      </c>
      <c r="CC40" s="316">
        <v>-0.19999999995343387</v>
      </c>
      <c r="DW40" s="483"/>
      <c r="DX40" s="442">
        <f>'Table 2'!AS39</f>
      </c>
      <c r="DY40" s="442">
        <f>'Table 2'!AT39</f>
      </c>
      <c r="DZ40" s="442">
        <f>'Table 2'!AU39</f>
      </c>
      <c r="EA40" s="442">
        <f>'Table 2'!AV39</f>
      </c>
      <c r="EB40" s="546"/>
      <c r="EC40" s="442">
        <f>'Table 2'!AX39</f>
      </c>
      <c r="ED40" s="442">
        <f>'Table 2'!AY39</f>
      </c>
      <c r="EE40" s="442">
        <f>'Table 2'!AZ39</f>
      </c>
      <c r="EF40" s="442">
        <f>'Table 2'!BA39</f>
      </c>
      <c r="EG40" s="442">
        <f>'Table 2'!BB39</f>
      </c>
      <c r="EH40" s="442">
        <f>'Table 2'!BC39</f>
      </c>
      <c r="EI40" s="442">
        <f>'Table 2'!BD39</f>
      </c>
      <c r="EJ40" s="442">
        <f>'Table 2'!BE39</f>
      </c>
      <c r="EK40" s="442">
        <f>'Table 2'!BF39</f>
      </c>
      <c r="EL40" s="442">
        <f>'Table 2'!BG39</f>
      </c>
      <c r="EM40" s="442">
        <f>'Table 2'!BH39</f>
      </c>
      <c r="EN40" s="546"/>
      <c r="EO40" s="434">
        <f t="shared" si="17"/>
        <v>0</v>
      </c>
    </row>
    <row r="41" spans="2:145" ht="12.75">
      <c r="B41" s="531">
        <v>63</v>
      </c>
      <c r="C41" s="531" t="s">
        <v>529</v>
      </c>
      <c r="D41" s="531">
        <v>2028</v>
      </c>
      <c r="E41" s="532"/>
      <c r="F41" s="532">
        <v>0</v>
      </c>
      <c r="G41" s="532"/>
      <c r="H41" s="532"/>
      <c r="I41" s="532">
        <v>0</v>
      </c>
      <c r="J41" s="532"/>
      <c r="K41" s="532">
        <v>0</v>
      </c>
      <c r="L41" s="532">
        <v>0</v>
      </c>
      <c r="M41" s="532"/>
      <c r="N41" s="532">
        <v>40</v>
      </c>
      <c r="O41" s="532">
        <v>42</v>
      </c>
      <c r="P41" s="532">
        <v>52</v>
      </c>
      <c r="Q41" s="532">
        <v>45</v>
      </c>
      <c r="R41" s="532"/>
      <c r="S41" s="532"/>
      <c r="T41" s="532"/>
      <c r="U41" s="532"/>
      <c r="V41" s="532"/>
      <c r="W41" s="532"/>
      <c r="X41" s="532"/>
      <c r="Y41" s="532"/>
      <c r="Z41" s="504"/>
      <c r="AA41" s="504"/>
      <c r="AB41" s="532">
        <f t="shared" si="2"/>
        <v>179</v>
      </c>
      <c r="AC41" s="532">
        <f t="shared" si="3"/>
        <v>387386.43000000005</v>
      </c>
      <c r="AD41" s="532">
        <v>0</v>
      </c>
      <c r="AE41" s="532"/>
      <c r="AF41" s="532">
        <v>0</v>
      </c>
      <c r="AG41" s="532"/>
      <c r="AH41" s="561"/>
      <c r="AI41" s="532"/>
      <c r="AJ41" s="532">
        <f t="shared" si="4"/>
        <v>0</v>
      </c>
      <c r="AK41" s="539"/>
      <c r="AL41" s="540"/>
      <c r="AM41" s="562"/>
      <c r="AN41" s="562"/>
      <c r="AO41" s="542">
        <f t="shared" si="5"/>
        <v>0</v>
      </c>
      <c r="AP41" s="532">
        <v>5440</v>
      </c>
      <c r="AQ41" s="532">
        <v>6791</v>
      </c>
      <c r="AR41" s="532">
        <v>6528</v>
      </c>
      <c r="AS41" s="532"/>
      <c r="AT41" s="532">
        <v>88268</v>
      </c>
      <c r="AU41" s="532">
        <f t="shared" si="6"/>
        <v>107027</v>
      </c>
      <c r="AV41" s="532">
        <v>0</v>
      </c>
      <c r="AW41" s="532">
        <f t="shared" si="7"/>
        <v>3265</v>
      </c>
      <c r="AX41" s="532">
        <f t="shared" si="8"/>
        <v>3265</v>
      </c>
      <c r="AY41" s="532">
        <v>4688</v>
      </c>
      <c r="AZ41" s="532">
        <v>3614</v>
      </c>
      <c r="BA41" s="532">
        <v>1738</v>
      </c>
      <c r="BB41" s="532"/>
      <c r="BC41" s="532">
        <f t="shared" si="9"/>
        <v>10040</v>
      </c>
      <c r="BD41" s="532">
        <v>586</v>
      </c>
      <c r="BE41" s="532">
        <v>0</v>
      </c>
      <c r="BF41" s="532">
        <v>0</v>
      </c>
      <c r="BG41" s="532">
        <v>5376</v>
      </c>
      <c r="BH41" s="532">
        <v>2668</v>
      </c>
      <c r="BI41" s="532">
        <f t="shared" si="10"/>
        <v>8630</v>
      </c>
      <c r="BJ41" s="532">
        <v>11355</v>
      </c>
      <c r="BK41" s="532">
        <v>1337</v>
      </c>
      <c r="BL41" s="532">
        <v>30954</v>
      </c>
      <c r="BM41" s="532">
        <v>5493</v>
      </c>
      <c r="BN41" s="532">
        <f t="shared" si="11"/>
        <v>49139</v>
      </c>
      <c r="BO41" s="532">
        <v>80468</v>
      </c>
      <c r="BP41" s="532">
        <v>18965</v>
      </c>
      <c r="BQ41" s="532"/>
      <c r="BR41" s="532">
        <v>5148</v>
      </c>
      <c r="BS41" s="532">
        <v>0</v>
      </c>
      <c r="BT41" s="532">
        <f t="shared" si="12"/>
        <v>104581</v>
      </c>
      <c r="BU41" s="532"/>
      <c r="BV41" s="532"/>
      <c r="BW41" s="532">
        <f t="shared" si="13"/>
        <v>0</v>
      </c>
      <c r="BX41" s="532">
        <v>19459</v>
      </c>
      <c r="BY41" s="532">
        <f t="shared" si="14"/>
        <v>689527.43</v>
      </c>
      <c r="BZ41" s="543">
        <f t="shared" si="15"/>
        <v>1379054.86</v>
      </c>
      <c r="CA41" s="441">
        <f t="shared" si="16"/>
        <v>387386.43000000005</v>
      </c>
      <c r="CC41" s="316">
        <v>-0.4699999999720603</v>
      </c>
      <c r="DW41" s="483"/>
      <c r="DX41" s="442">
        <f>'Table 2'!AS40</f>
      </c>
      <c r="DY41" s="442">
        <f>'Table 2'!AT40</f>
      </c>
      <c r="DZ41" s="442">
        <f>'Table 2'!AU40</f>
      </c>
      <c r="EA41" s="442">
        <f>'Table 2'!AV40</f>
      </c>
      <c r="EB41" s="546"/>
      <c r="EC41" s="442">
        <f>'Table 2'!AX40</f>
      </c>
      <c r="ED41" s="442">
        <f>'Table 2'!AY40</f>
      </c>
      <c r="EE41" s="442">
        <f>'Table 2'!AZ40</f>
      </c>
      <c r="EF41" s="442">
        <f>'Table 2'!BA40</f>
      </c>
      <c r="EG41" s="442">
        <f>'Table 2'!BB40</f>
      </c>
      <c r="EH41" s="442">
        <f>'Table 2'!BC40</f>
      </c>
      <c r="EI41" s="442">
        <f>'Table 2'!BD40</f>
      </c>
      <c r="EJ41" s="442">
        <f>'Table 2'!BE40</f>
      </c>
      <c r="EK41" s="442">
        <f>'Table 2'!BF40</f>
      </c>
      <c r="EL41" s="442">
        <f>'Table 2'!BG40</f>
      </c>
      <c r="EM41" s="442">
        <f>'Table 2'!BH40</f>
      </c>
      <c r="EN41" s="546"/>
      <c r="EO41" s="434">
        <f t="shared" si="17"/>
        <v>0</v>
      </c>
    </row>
    <row r="42" spans="2:145" ht="12.75">
      <c r="B42" s="531">
        <v>17</v>
      </c>
      <c r="C42" s="531" t="s">
        <v>530</v>
      </c>
      <c r="D42" s="531">
        <v>2029</v>
      </c>
      <c r="E42" s="532"/>
      <c r="F42" s="532">
        <v>27.5</v>
      </c>
      <c r="G42" s="532"/>
      <c r="H42" s="532"/>
      <c r="I42" s="532">
        <v>58</v>
      </c>
      <c r="J42" s="532"/>
      <c r="K42" s="532">
        <v>59</v>
      </c>
      <c r="L42" s="532">
        <v>55</v>
      </c>
      <c r="M42" s="532"/>
      <c r="N42" s="532">
        <v>0</v>
      </c>
      <c r="O42" s="532">
        <v>0</v>
      </c>
      <c r="P42" s="532">
        <v>0</v>
      </c>
      <c r="Q42" s="532">
        <v>0</v>
      </c>
      <c r="R42" s="532"/>
      <c r="S42" s="532"/>
      <c r="T42" s="532"/>
      <c r="U42" s="532"/>
      <c r="V42" s="532"/>
      <c r="W42" s="532"/>
      <c r="X42" s="532"/>
      <c r="Y42" s="532"/>
      <c r="Z42" s="504"/>
      <c r="AA42" s="504"/>
      <c r="AB42" s="532">
        <f t="shared" si="2"/>
        <v>199.5</v>
      </c>
      <c r="AC42" s="532">
        <f t="shared" si="3"/>
        <v>417275.37</v>
      </c>
      <c r="AD42" s="532">
        <v>64551</v>
      </c>
      <c r="AE42" s="532"/>
      <c r="AF42" s="532">
        <v>2360</v>
      </c>
      <c r="AG42" s="532"/>
      <c r="AH42" s="561"/>
      <c r="AI42" s="532"/>
      <c r="AJ42" s="532">
        <f t="shared" si="4"/>
        <v>66911</v>
      </c>
      <c r="AK42" s="539"/>
      <c r="AL42" s="540"/>
      <c r="AM42" s="562"/>
      <c r="AN42" s="562"/>
      <c r="AO42" s="542">
        <f t="shared" si="5"/>
        <v>0</v>
      </c>
      <c r="AP42" s="532">
        <v>0</v>
      </c>
      <c r="AQ42" s="532">
        <v>10531</v>
      </c>
      <c r="AR42" s="532">
        <v>10124</v>
      </c>
      <c r="AS42" s="532"/>
      <c r="AT42" s="532">
        <v>0</v>
      </c>
      <c r="AU42" s="532">
        <f t="shared" si="6"/>
        <v>20655</v>
      </c>
      <c r="AV42" s="532">
        <v>0</v>
      </c>
      <c r="AW42" s="532">
        <f t="shared" si="7"/>
        <v>3265</v>
      </c>
      <c r="AX42" s="532">
        <f t="shared" si="8"/>
        <v>3265</v>
      </c>
      <c r="AY42" s="532">
        <v>7270</v>
      </c>
      <c r="AZ42" s="532">
        <v>2409</v>
      </c>
      <c r="BA42" s="532">
        <v>2410</v>
      </c>
      <c r="BB42" s="532"/>
      <c r="BC42" s="532">
        <f t="shared" si="9"/>
        <v>12089</v>
      </c>
      <c r="BD42" s="532">
        <v>341</v>
      </c>
      <c r="BE42" s="532">
        <v>0</v>
      </c>
      <c r="BF42" s="532">
        <v>0</v>
      </c>
      <c r="BG42" s="532">
        <v>3584</v>
      </c>
      <c r="BH42" s="532">
        <v>3698</v>
      </c>
      <c r="BI42" s="532">
        <f t="shared" si="10"/>
        <v>7623</v>
      </c>
      <c r="BJ42" s="532">
        <v>8705</v>
      </c>
      <c r="BK42" s="532">
        <v>737</v>
      </c>
      <c r="BL42" s="532">
        <v>27640</v>
      </c>
      <c r="BM42" s="532">
        <v>1516</v>
      </c>
      <c r="BN42" s="532">
        <f t="shared" si="11"/>
        <v>38598</v>
      </c>
      <c r="BO42" s="532">
        <v>81170</v>
      </c>
      <c r="BP42" s="532">
        <v>2610</v>
      </c>
      <c r="BQ42" s="532"/>
      <c r="BR42" s="532">
        <v>4597</v>
      </c>
      <c r="BS42" s="532">
        <v>0</v>
      </c>
      <c r="BT42" s="532">
        <f t="shared" si="12"/>
        <v>88377</v>
      </c>
      <c r="BU42" s="532"/>
      <c r="BV42" s="532"/>
      <c r="BW42" s="532">
        <f t="shared" si="13"/>
        <v>0</v>
      </c>
      <c r="BX42" s="532">
        <v>0</v>
      </c>
      <c r="BY42" s="532">
        <f t="shared" si="14"/>
        <v>654793.37</v>
      </c>
      <c r="BZ42" s="543">
        <f t="shared" si="15"/>
        <v>1309586.74</v>
      </c>
      <c r="CA42" s="441">
        <f t="shared" si="16"/>
        <v>417275.37</v>
      </c>
      <c r="CC42" s="316">
        <v>0.36999999987892807</v>
      </c>
      <c r="DW42" s="483"/>
      <c r="DX42" s="442">
        <f>'Table 2'!AS41</f>
      </c>
      <c r="DY42" s="442">
        <f>'Table 2'!AT41</f>
      </c>
      <c r="DZ42" s="442">
        <f>'Table 2'!AU41</f>
      </c>
      <c r="EA42" s="442">
        <f>'Table 2'!AV41</f>
      </c>
      <c r="EB42" s="546"/>
      <c r="EC42" s="442">
        <f>'Table 2'!AX41</f>
      </c>
      <c r="ED42" s="442">
        <f>'Table 2'!AY41</f>
      </c>
      <c r="EE42" s="442">
        <f>'Table 2'!AZ41</f>
      </c>
      <c r="EF42" s="442">
        <f>'Table 2'!BA41</f>
      </c>
      <c r="EG42" s="442">
        <f>'Table 2'!BB41</f>
      </c>
      <c r="EH42" s="442">
        <f>'Table 2'!BC41</f>
      </c>
      <c r="EI42" s="442">
        <f>'Table 2'!BD41</f>
      </c>
      <c r="EJ42" s="442">
        <f>'Table 2'!BE41</f>
      </c>
      <c r="EK42" s="442">
        <f>'Table 2'!BF41</f>
      </c>
      <c r="EL42" s="442">
        <f>'Table 2'!BG41</f>
      </c>
      <c r="EM42" s="442">
        <f>'Table 2'!BH41</f>
      </c>
      <c r="EN42" s="546"/>
      <c r="EO42" s="434">
        <f t="shared" si="17"/>
        <v>0</v>
      </c>
    </row>
    <row r="43" spans="2:145" ht="12.75">
      <c r="B43" s="531">
        <v>40</v>
      </c>
      <c r="C43" s="531" t="s">
        <v>531</v>
      </c>
      <c r="D43" s="531">
        <v>2030</v>
      </c>
      <c r="E43" s="532"/>
      <c r="F43" s="532">
        <v>15</v>
      </c>
      <c r="G43" s="532"/>
      <c r="H43" s="532"/>
      <c r="I43" s="532">
        <v>30</v>
      </c>
      <c r="J43" s="532"/>
      <c r="K43" s="532">
        <v>30</v>
      </c>
      <c r="L43" s="532">
        <v>30</v>
      </c>
      <c r="M43" s="532"/>
      <c r="N43" s="532">
        <v>30</v>
      </c>
      <c r="O43" s="532">
        <v>30</v>
      </c>
      <c r="P43" s="532">
        <v>30</v>
      </c>
      <c r="Q43" s="532">
        <v>28</v>
      </c>
      <c r="R43" s="532"/>
      <c r="S43" s="532"/>
      <c r="T43" s="532"/>
      <c r="U43" s="532"/>
      <c r="V43" s="532"/>
      <c r="W43" s="532"/>
      <c r="X43" s="532"/>
      <c r="Y43" s="532"/>
      <c r="Z43" s="504"/>
      <c r="AA43" s="504"/>
      <c r="AB43" s="532">
        <f t="shared" si="2"/>
        <v>223</v>
      </c>
      <c r="AC43" s="532">
        <f t="shared" si="3"/>
        <v>473901.16</v>
      </c>
      <c r="AD43" s="532">
        <v>37134</v>
      </c>
      <c r="AE43" s="532"/>
      <c r="AF43" s="532">
        <v>0</v>
      </c>
      <c r="AG43" s="532"/>
      <c r="AH43" s="561"/>
      <c r="AI43" s="532"/>
      <c r="AJ43" s="532">
        <f t="shared" si="4"/>
        <v>37134</v>
      </c>
      <c r="AK43" s="539"/>
      <c r="AL43" s="540"/>
      <c r="AM43" s="562"/>
      <c r="AN43" s="562"/>
      <c r="AO43" s="542">
        <f t="shared" si="5"/>
        <v>0</v>
      </c>
      <c r="AP43" s="532">
        <v>11968</v>
      </c>
      <c r="AQ43" s="532">
        <v>4248</v>
      </c>
      <c r="AR43" s="532">
        <v>4084</v>
      </c>
      <c r="AS43" s="532"/>
      <c r="AT43" s="532">
        <v>0</v>
      </c>
      <c r="AU43" s="532">
        <f t="shared" si="6"/>
        <v>20300</v>
      </c>
      <c r="AV43" s="532">
        <v>4455</v>
      </c>
      <c r="AW43" s="532">
        <f t="shared" si="7"/>
        <v>3265</v>
      </c>
      <c r="AX43" s="532">
        <f t="shared" si="8"/>
        <v>7720</v>
      </c>
      <c r="AY43" s="532">
        <v>2933</v>
      </c>
      <c r="AZ43" s="532">
        <v>402</v>
      </c>
      <c r="BA43" s="532">
        <v>1067</v>
      </c>
      <c r="BB43" s="532"/>
      <c r="BC43" s="532">
        <f t="shared" si="9"/>
        <v>4402</v>
      </c>
      <c r="BD43" s="532">
        <v>73</v>
      </c>
      <c r="BE43" s="532">
        <v>0</v>
      </c>
      <c r="BF43" s="532">
        <v>0</v>
      </c>
      <c r="BG43" s="532">
        <v>597</v>
      </c>
      <c r="BH43" s="532">
        <v>1638</v>
      </c>
      <c r="BI43" s="532">
        <f t="shared" si="10"/>
        <v>2308</v>
      </c>
      <c r="BJ43" s="532">
        <v>9967</v>
      </c>
      <c r="BK43" s="532">
        <v>1320</v>
      </c>
      <c r="BL43" s="532">
        <v>30868</v>
      </c>
      <c r="BM43" s="532">
        <v>2806</v>
      </c>
      <c r="BN43" s="532">
        <f t="shared" si="11"/>
        <v>44961</v>
      </c>
      <c r="BO43" s="532">
        <v>81170</v>
      </c>
      <c r="BP43" s="532">
        <v>20033</v>
      </c>
      <c r="BQ43" s="532"/>
      <c r="BR43" s="532">
        <v>5134</v>
      </c>
      <c r="BS43" s="532">
        <v>0</v>
      </c>
      <c r="BT43" s="532">
        <f t="shared" si="12"/>
        <v>106337</v>
      </c>
      <c r="BU43" s="532"/>
      <c r="BV43" s="532"/>
      <c r="BW43" s="532">
        <f t="shared" si="13"/>
        <v>0</v>
      </c>
      <c r="BX43" s="532">
        <v>0</v>
      </c>
      <c r="BY43" s="532">
        <f t="shared" si="14"/>
        <v>697063.1599999999</v>
      </c>
      <c r="BZ43" s="543">
        <f t="shared" si="15"/>
        <v>1394126.3199999998</v>
      </c>
      <c r="CA43" s="441">
        <f t="shared" si="16"/>
        <v>473901.16</v>
      </c>
      <c r="CC43" s="316">
        <v>-0.25</v>
      </c>
      <c r="DW43" s="483"/>
      <c r="DX43" s="442">
        <f>'Table 2'!AS42</f>
      </c>
      <c r="DY43" s="442">
        <f>'Table 2'!AT42</f>
      </c>
      <c r="DZ43" s="442">
        <f>'Table 2'!AU42</f>
      </c>
      <c r="EA43" s="442">
        <f>'Table 2'!AV42</f>
      </c>
      <c r="EB43" s="546"/>
      <c r="EC43" s="442">
        <f>'Table 2'!AX42</f>
      </c>
      <c r="ED43" s="442">
        <f>'Table 2'!AY42</f>
      </c>
      <c r="EE43" s="442">
        <f>'Table 2'!AZ42</f>
      </c>
      <c r="EF43" s="442">
        <f>'Table 2'!BA42</f>
      </c>
      <c r="EG43" s="442">
        <f>'Table 2'!BB42</f>
      </c>
      <c r="EH43" s="442">
        <f>'Table 2'!BC42</f>
      </c>
      <c r="EI43" s="442">
        <f>'Table 2'!BD42</f>
      </c>
      <c r="EJ43" s="442">
        <f>'Table 2'!BE42</f>
      </c>
      <c r="EK43" s="442">
        <f>'Table 2'!BF42</f>
      </c>
      <c r="EL43" s="442">
        <f>'Table 2'!BG42</f>
      </c>
      <c r="EM43" s="442">
        <f>'Table 2'!BH42</f>
      </c>
      <c r="EN43" s="546"/>
      <c r="EO43" s="434">
        <f t="shared" si="17"/>
        <v>0</v>
      </c>
    </row>
    <row r="44" spans="2:145" ht="12.75">
      <c r="B44" s="531">
        <v>38</v>
      </c>
      <c r="C44" s="531" t="s">
        <v>532</v>
      </c>
      <c r="D44" s="531">
        <v>2031</v>
      </c>
      <c r="E44" s="532"/>
      <c r="F44" s="532">
        <v>11</v>
      </c>
      <c r="G44" s="532"/>
      <c r="H44" s="532"/>
      <c r="I44" s="532">
        <v>30</v>
      </c>
      <c r="J44" s="532"/>
      <c r="K44" s="532">
        <v>30</v>
      </c>
      <c r="L44" s="532">
        <v>30</v>
      </c>
      <c r="M44" s="532"/>
      <c r="N44" s="532">
        <v>29</v>
      </c>
      <c r="O44" s="532">
        <v>30</v>
      </c>
      <c r="P44" s="532">
        <v>26</v>
      </c>
      <c r="Q44" s="532">
        <v>30</v>
      </c>
      <c r="R44" s="532"/>
      <c r="S44" s="532"/>
      <c r="T44" s="532"/>
      <c r="U44" s="532"/>
      <c r="V44" s="532"/>
      <c r="W44" s="532"/>
      <c r="X44" s="532"/>
      <c r="Y44" s="532"/>
      <c r="Z44" s="504"/>
      <c r="AA44" s="504"/>
      <c r="AB44" s="532">
        <f t="shared" si="2"/>
        <v>216</v>
      </c>
      <c r="AC44" s="532">
        <f t="shared" si="3"/>
        <v>466689.81000000006</v>
      </c>
      <c r="AD44" s="532">
        <v>37134</v>
      </c>
      <c r="AE44" s="532"/>
      <c r="AF44" s="532">
        <v>0</v>
      </c>
      <c r="AG44" s="532"/>
      <c r="AH44" s="561"/>
      <c r="AI44" s="532"/>
      <c r="AJ44" s="532">
        <f t="shared" si="4"/>
        <v>37134</v>
      </c>
      <c r="AK44" s="539"/>
      <c r="AL44" s="540"/>
      <c r="AM44" s="562"/>
      <c r="AN44" s="562"/>
      <c r="AO44" s="542">
        <f t="shared" si="5"/>
        <v>0</v>
      </c>
      <c r="AP44" s="532">
        <v>3264</v>
      </c>
      <c r="AQ44" s="532">
        <v>12524</v>
      </c>
      <c r="AR44" s="532">
        <v>12041</v>
      </c>
      <c r="AS44" s="532"/>
      <c r="AT44" s="532">
        <v>0</v>
      </c>
      <c r="AU44" s="532">
        <f t="shared" si="6"/>
        <v>27829</v>
      </c>
      <c r="AV44" s="532">
        <v>0</v>
      </c>
      <c r="AW44" s="532">
        <f t="shared" si="7"/>
        <v>3265</v>
      </c>
      <c r="AX44" s="532">
        <f t="shared" si="8"/>
        <v>3265</v>
      </c>
      <c r="AY44" s="532">
        <v>8647</v>
      </c>
      <c r="AZ44" s="532">
        <v>3614</v>
      </c>
      <c r="BA44" s="532">
        <v>3281</v>
      </c>
      <c r="BB44" s="532"/>
      <c r="BC44" s="532">
        <f t="shared" si="9"/>
        <v>15542</v>
      </c>
      <c r="BD44" s="532">
        <v>536</v>
      </c>
      <c r="BE44" s="532">
        <v>0</v>
      </c>
      <c r="BF44" s="532">
        <v>0</v>
      </c>
      <c r="BG44" s="532">
        <v>5376</v>
      </c>
      <c r="BH44" s="532">
        <v>5035</v>
      </c>
      <c r="BI44" s="532">
        <f t="shared" si="10"/>
        <v>10947</v>
      </c>
      <c r="BJ44" s="532">
        <v>10245</v>
      </c>
      <c r="BK44" s="532">
        <v>1126</v>
      </c>
      <c r="BL44" s="532">
        <v>31350</v>
      </c>
      <c r="BM44" s="532">
        <v>4275</v>
      </c>
      <c r="BN44" s="532">
        <f t="shared" si="11"/>
        <v>46996</v>
      </c>
      <c r="BO44" s="532">
        <v>81170</v>
      </c>
      <c r="BP44" s="532">
        <v>21346</v>
      </c>
      <c r="BQ44" s="532"/>
      <c r="BR44" s="532">
        <v>5214</v>
      </c>
      <c r="BS44" s="532">
        <v>0</v>
      </c>
      <c r="BT44" s="532">
        <f t="shared" si="12"/>
        <v>107730</v>
      </c>
      <c r="BU44" s="532"/>
      <c r="BV44" s="532"/>
      <c r="BW44" s="532">
        <f t="shared" si="13"/>
        <v>0</v>
      </c>
      <c r="BX44" s="532">
        <v>0</v>
      </c>
      <c r="BY44" s="532">
        <f t="shared" si="14"/>
        <v>716132.81</v>
      </c>
      <c r="BZ44" s="543">
        <f t="shared" si="15"/>
        <v>1432265.62</v>
      </c>
      <c r="CA44" s="441">
        <f t="shared" si="16"/>
        <v>466689.81000000006</v>
      </c>
      <c r="CC44" s="316">
        <v>-0.23999999999068677</v>
      </c>
      <c r="DW44" s="483"/>
      <c r="DX44" s="442">
        <f>'Table 2'!AS43</f>
      </c>
      <c r="DY44" s="442">
        <f>'Table 2'!AT43</f>
      </c>
      <c r="DZ44" s="442">
        <f>'Table 2'!AU43</f>
      </c>
      <c r="EA44" s="442">
        <f>'Table 2'!AV43</f>
      </c>
      <c r="EB44" s="546"/>
      <c r="EC44" s="442">
        <f>'Table 2'!AX43</f>
      </c>
      <c r="ED44" s="442">
        <f>'Table 2'!AY43</f>
      </c>
      <c r="EE44" s="442">
        <f>'Table 2'!AZ43</f>
      </c>
      <c r="EF44" s="442">
        <f>'Table 2'!BA43</f>
      </c>
      <c r="EG44" s="442">
        <f>'Table 2'!BB43</f>
      </c>
      <c r="EH44" s="442">
        <f>'Table 2'!BC43</f>
      </c>
      <c r="EI44" s="442">
        <f>'Table 2'!BD43</f>
      </c>
      <c r="EJ44" s="442">
        <f>'Table 2'!BE43</f>
      </c>
      <c r="EK44" s="442">
        <f>'Table 2'!BF43</f>
      </c>
      <c r="EL44" s="442">
        <f>'Table 2'!BG43</f>
      </c>
      <c r="EM44" s="442">
        <f>'Table 2'!BH43</f>
      </c>
      <c r="EN44" s="546"/>
      <c r="EO44" s="434">
        <f t="shared" si="17"/>
        <v>0</v>
      </c>
    </row>
    <row r="45" spans="2:145" ht="12.75">
      <c r="B45" s="531">
        <v>66</v>
      </c>
      <c r="C45" s="531" t="s">
        <v>533</v>
      </c>
      <c r="D45" s="531">
        <v>2033</v>
      </c>
      <c r="E45" s="532"/>
      <c r="F45" s="532">
        <v>7.5</v>
      </c>
      <c r="G45" s="532"/>
      <c r="H45" s="532"/>
      <c r="I45" s="532">
        <v>19</v>
      </c>
      <c r="J45" s="532"/>
      <c r="K45" s="532">
        <v>21</v>
      </c>
      <c r="L45" s="532">
        <v>21</v>
      </c>
      <c r="M45" s="532"/>
      <c r="N45" s="532">
        <v>30</v>
      </c>
      <c r="O45" s="532">
        <v>23</v>
      </c>
      <c r="P45" s="532">
        <v>28</v>
      </c>
      <c r="Q45" s="532">
        <v>28</v>
      </c>
      <c r="R45" s="532"/>
      <c r="S45" s="532"/>
      <c r="T45" s="532"/>
      <c r="U45" s="532"/>
      <c r="V45" s="532"/>
      <c r="W45" s="532"/>
      <c r="X45" s="532"/>
      <c r="Y45" s="532"/>
      <c r="Z45" s="504"/>
      <c r="AA45" s="504"/>
      <c r="AB45" s="532">
        <f t="shared" si="2"/>
        <v>177.5</v>
      </c>
      <c r="AC45" s="532">
        <f t="shared" si="3"/>
        <v>383016.04000000004</v>
      </c>
      <c r="AD45" s="532">
        <v>27416</v>
      </c>
      <c r="AE45" s="532"/>
      <c r="AF45" s="532">
        <v>27140</v>
      </c>
      <c r="AG45" s="532"/>
      <c r="AH45" s="561"/>
      <c r="AI45" s="532"/>
      <c r="AJ45" s="532">
        <f t="shared" si="4"/>
        <v>54556</v>
      </c>
      <c r="AK45" s="539"/>
      <c r="AL45" s="540"/>
      <c r="AM45" s="562"/>
      <c r="AN45" s="562"/>
      <c r="AO45" s="542">
        <f t="shared" si="5"/>
        <v>0</v>
      </c>
      <c r="AP45" s="532">
        <v>9792</v>
      </c>
      <c r="AQ45" s="532">
        <v>16302</v>
      </c>
      <c r="AR45" s="532">
        <v>15672</v>
      </c>
      <c r="AS45" s="532"/>
      <c r="AT45" s="532">
        <v>0</v>
      </c>
      <c r="AU45" s="532">
        <f t="shared" si="6"/>
        <v>41766</v>
      </c>
      <c r="AV45" s="532">
        <v>0</v>
      </c>
      <c r="AW45" s="532">
        <f t="shared" si="7"/>
        <v>3265</v>
      </c>
      <c r="AX45" s="532">
        <f t="shared" si="8"/>
        <v>3265</v>
      </c>
      <c r="AY45" s="532">
        <v>11254</v>
      </c>
      <c r="AZ45" s="532">
        <v>4952</v>
      </c>
      <c r="BA45" s="532">
        <v>2392</v>
      </c>
      <c r="BB45" s="532"/>
      <c r="BC45" s="532">
        <f t="shared" si="9"/>
        <v>18598</v>
      </c>
      <c r="BD45" s="532">
        <v>805</v>
      </c>
      <c r="BE45" s="532">
        <v>0</v>
      </c>
      <c r="BF45" s="532">
        <v>0</v>
      </c>
      <c r="BG45" s="532">
        <v>7367</v>
      </c>
      <c r="BH45" s="532">
        <v>3671</v>
      </c>
      <c r="BI45" s="532">
        <f t="shared" si="10"/>
        <v>11843</v>
      </c>
      <c r="BJ45" s="532">
        <v>8958</v>
      </c>
      <c r="BK45" s="532">
        <v>1058</v>
      </c>
      <c r="BL45" s="532">
        <v>27981</v>
      </c>
      <c r="BM45" s="532">
        <v>3828</v>
      </c>
      <c r="BN45" s="532">
        <f t="shared" si="11"/>
        <v>41825</v>
      </c>
      <c r="BO45" s="532">
        <v>81170</v>
      </c>
      <c r="BP45" s="532">
        <v>33166</v>
      </c>
      <c r="BQ45" s="532"/>
      <c r="BR45" s="532">
        <v>4653</v>
      </c>
      <c r="BS45" s="532">
        <v>0</v>
      </c>
      <c r="BT45" s="532">
        <f t="shared" si="12"/>
        <v>118989</v>
      </c>
      <c r="BU45" s="532"/>
      <c r="BV45" s="532"/>
      <c r="BW45" s="532">
        <f t="shared" si="13"/>
        <v>0</v>
      </c>
      <c r="BX45" s="532">
        <v>0</v>
      </c>
      <c r="BY45" s="532">
        <f t="shared" si="14"/>
        <v>673858.04</v>
      </c>
      <c r="BZ45" s="543">
        <f t="shared" si="15"/>
        <v>1347716.08</v>
      </c>
      <c r="CA45" s="441">
        <f t="shared" si="16"/>
        <v>383016.04000000004</v>
      </c>
      <c r="CC45" s="316">
        <v>-0.26000000012572855</v>
      </c>
      <c r="DW45" s="483"/>
      <c r="DX45" s="442">
        <f>'Table 2'!AS44</f>
      </c>
      <c r="DY45" s="442">
        <f>'Table 2'!AT44</f>
      </c>
      <c r="DZ45" s="442">
        <f>'Table 2'!AU44</f>
      </c>
      <c r="EA45" s="442">
        <f>'Table 2'!AV44</f>
      </c>
      <c r="EB45" s="546"/>
      <c r="EC45" s="442">
        <f>'Table 2'!AX44</f>
      </c>
      <c r="ED45" s="442">
        <f>'Table 2'!AY44</f>
      </c>
      <c r="EE45" s="442">
        <f>'Table 2'!AZ44</f>
      </c>
      <c r="EF45" s="442">
        <f>'Table 2'!BA44</f>
      </c>
      <c r="EG45" s="442">
        <f>'Table 2'!BB44</f>
      </c>
      <c r="EH45" s="442">
        <f>'Table 2'!BC44</f>
      </c>
      <c r="EI45" s="442">
        <f>'Table 2'!BD44</f>
      </c>
      <c r="EJ45" s="442">
        <f>'Table 2'!BE44</f>
      </c>
      <c r="EK45" s="442">
        <f>'Table 2'!BF44</f>
      </c>
      <c r="EL45" s="442">
        <f>'Table 2'!BG44</f>
      </c>
      <c r="EM45" s="442">
        <f>'Table 2'!BH44</f>
      </c>
      <c r="EN45" s="546"/>
      <c r="EO45" s="434">
        <f t="shared" si="17"/>
        <v>0</v>
      </c>
    </row>
    <row r="46" spans="2:145" ht="12.75">
      <c r="B46" s="531">
        <v>2</v>
      </c>
      <c r="C46" s="531" t="s">
        <v>534</v>
      </c>
      <c r="D46" s="531">
        <v>2050</v>
      </c>
      <c r="E46" s="532"/>
      <c r="F46" s="532">
        <v>29</v>
      </c>
      <c r="G46" s="532"/>
      <c r="H46" s="532"/>
      <c r="I46" s="532">
        <v>90</v>
      </c>
      <c r="J46" s="532"/>
      <c r="K46" s="532">
        <v>83</v>
      </c>
      <c r="L46" s="532">
        <v>89</v>
      </c>
      <c r="M46" s="532"/>
      <c r="N46" s="532">
        <v>70</v>
      </c>
      <c r="O46" s="532">
        <v>90</v>
      </c>
      <c r="P46" s="532">
        <v>88</v>
      </c>
      <c r="Q46" s="532">
        <v>90</v>
      </c>
      <c r="R46" s="532"/>
      <c r="S46" s="532"/>
      <c r="T46" s="532"/>
      <c r="U46" s="532"/>
      <c r="V46" s="532"/>
      <c r="W46" s="532"/>
      <c r="X46" s="532"/>
      <c r="Y46" s="532"/>
      <c r="Z46" s="504"/>
      <c r="AA46" s="504"/>
      <c r="AB46" s="532">
        <f t="shared" si="2"/>
        <v>629</v>
      </c>
      <c r="AC46" s="532">
        <f t="shared" si="3"/>
        <v>1365405.8</v>
      </c>
      <c r="AD46" s="532">
        <v>83986</v>
      </c>
      <c r="AE46" s="532"/>
      <c r="AF46" s="532">
        <v>0</v>
      </c>
      <c r="AG46" s="532"/>
      <c r="AH46" s="561"/>
      <c r="AI46" s="532"/>
      <c r="AJ46" s="532">
        <f t="shared" si="4"/>
        <v>83986</v>
      </c>
      <c r="AK46" s="539"/>
      <c r="AL46" s="540"/>
      <c r="AM46" s="562"/>
      <c r="AN46" s="562"/>
      <c r="AO46" s="542">
        <f t="shared" si="5"/>
        <v>0</v>
      </c>
      <c r="AP46" s="532">
        <v>17408</v>
      </c>
      <c r="AQ46" s="532">
        <v>24481</v>
      </c>
      <c r="AR46" s="532">
        <v>23535</v>
      </c>
      <c r="AS46" s="532"/>
      <c r="AT46" s="532">
        <v>0</v>
      </c>
      <c r="AU46" s="532">
        <f t="shared" si="6"/>
        <v>65424</v>
      </c>
      <c r="AV46" s="532">
        <v>0</v>
      </c>
      <c r="AW46" s="532">
        <f t="shared" si="7"/>
        <v>3265</v>
      </c>
      <c r="AX46" s="532">
        <f t="shared" si="8"/>
        <v>3265</v>
      </c>
      <c r="AY46" s="532">
        <v>16901</v>
      </c>
      <c r="AZ46" s="532">
        <v>2008</v>
      </c>
      <c r="BA46" s="532">
        <v>3375</v>
      </c>
      <c r="BB46" s="532"/>
      <c r="BC46" s="532">
        <f t="shared" si="9"/>
        <v>22284</v>
      </c>
      <c r="BD46" s="532">
        <v>366</v>
      </c>
      <c r="BE46" s="532">
        <v>0</v>
      </c>
      <c r="BF46" s="532">
        <v>0</v>
      </c>
      <c r="BG46" s="532">
        <v>2987</v>
      </c>
      <c r="BH46" s="532">
        <v>5180</v>
      </c>
      <c r="BI46" s="532">
        <f t="shared" si="10"/>
        <v>8533</v>
      </c>
      <c r="BJ46" s="532">
        <v>35073</v>
      </c>
      <c r="BK46" s="532">
        <v>2346</v>
      </c>
      <c r="BL46" s="532">
        <v>68252</v>
      </c>
      <c r="BM46" s="532">
        <v>3430</v>
      </c>
      <c r="BN46" s="532">
        <f t="shared" si="11"/>
        <v>109101</v>
      </c>
      <c r="BO46" s="532">
        <v>81170</v>
      </c>
      <c r="BP46" s="532">
        <v>0</v>
      </c>
      <c r="BQ46" s="532"/>
      <c r="BR46" s="532">
        <v>11351</v>
      </c>
      <c r="BS46" s="532">
        <v>0</v>
      </c>
      <c r="BT46" s="532">
        <f t="shared" si="12"/>
        <v>92521</v>
      </c>
      <c r="BU46" s="532"/>
      <c r="BV46" s="532"/>
      <c r="BW46" s="532">
        <f t="shared" si="13"/>
        <v>0</v>
      </c>
      <c r="BX46" s="532">
        <v>0</v>
      </c>
      <c r="BY46" s="532">
        <f t="shared" si="14"/>
        <v>1750519.8</v>
      </c>
      <c r="BZ46" s="543">
        <f t="shared" si="15"/>
        <v>3501039.5999999996</v>
      </c>
      <c r="CA46" s="441">
        <f t="shared" si="16"/>
        <v>1365405.8</v>
      </c>
      <c r="CC46" s="316">
        <v>-0.2600000000093132</v>
      </c>
      <c r="DW46" s="483"/>
      <c r="DX46" s="442">
        <f>'Table 2'!AS45</f>
      </c>
      <c r="DY46" s="442">
        <f>'Table 2'!AT45</f>
      </c>
      <c r="DZ46" s="442">
        <f>'Table 2'!AU45</f>
      </c>
      <c r="EA46" s="442">
        <f>'Table 2'!AV45</f>
      </c>
      <c r="EB46" s="546"/>
      <c r="EC46" s="442">
        <f>'Table 2'!AX45</f>
      </c>
      <c r="ED46" s="442">
        <f>'Table 2'!AY45</f>
      </c>
      <c r="EE46" s="442">
        <f>'Table 2'!AZ45</f>
      </c>
      <c r="EF46" s="442">
        <f>'Table 2'!BA45</f>
      </c>
      <c r="EG46" s="442">
        <f>'Table 2'!BB45</f>
      </c>
      <c r="EH46" s="442">
        <f>'Table 2'!BC45</f>
      </c>
      <c r="EI46" s="442">
        <f>'Table 2'!BD45</f>
      </c>
      <c r="EJ46" s="442">
        <f>'Table 2'!BE45</f>
      </c>
      <c r="EK46" s="442">
        <f>'Table 2'!BF45</f>
      </c>
      <c r="EL46" s="442">
        <f>'Table 2'!BG45</f>
      </c>
      <c r="EM46" s="442">
        <f>'Table 2'!BH45</f>
      </c>
      <c r="EN46" s="546"/>
      <c r="EO46" s="434">
        <f t="shared" si="17"/>
        <v>0</v>
      </c>
    </row>
    <row r="47" spans="2:145" ht="12.75">
      <c r="B47" s="531">
        <v>36</v>
      </c>
      <c r="C47" s="531" t="s">
        <v>535</v>
      </c>
      <c r="D47" s="531">
        <v>2051</v>
      </c>
      <c r="E47" s="532"/>
      <c r="F47" s="532">
        <v>0</v>
      </c>
      <c r="G47" s="532"/>
      <c r="H47" s="532"/>
      <c r="I47" s="532">
        <v>0</v>
      </c>
      <c r="J47" s="532"/>
      <c r="K47" s="532">
        <v>0</v>
      </c>
      <c r="L47" s="532">
        <v>0</v>
      </c>
      <c r="M47" s="532"/>
      <c r="N47" s="532">
        <v>88</v>
      </c>
      <c r="O47" s="532">
        <v>86</v>
      </c>
      <c r="P47" s="532">
        <v>70</v>
      </c>
      <c r="Q47" s="532">
        <v>90</v>
      </c>
      <c r="R47" s="532"/>
      <c r="S47" s="532"/>
      <c r="T47" s="532"/>
      <c r="U47" s="532"/>
      <c r="V47" s="532"/>
      <c r="W47" s="532"/>
      <c r="X47" s="532"/>
      <c r="Y47" s="532"/>
      <c r="Z47" s="504"/>
      <c r="AA47" s="504"/>
      <c r="AB47" s="532">
        <f t="shared" si="2"/>
        <v>334</v>
      </c>
      <c r="AC47" s="532">
        <f t="shared" si="3"/>
        <v>723885.26</v>
      </c>
      <c r="AD47" s="532">
        <v>0</v>
      </c>
      <c r="AE47" s="532"/>
      <c r="AF47" s="532">
        <v>0</v>
      </c>
      <c r="AG47" s="532"/>
      <c r="AH47" s="561"/>
      <c r="AI47" s="532"/>
      <c r="AJ47" s="532">
        <f t="shared" si="4"/>
        <v>0</v>
      </c>
      <c r="AK47" s="539"/>
      <c r="AL47" s="540"/>
      <c r="AM47" s="562"/>
      <c r="AN47" s="562"/>
      <c r="AO47" s="542">
        <f t="shared" si="5"/>
        <v>0</v>
      </c>
      <c r="AP47" s="532">
        <v>32640</v>
      </c>
      <c r="AQ47" s="532">
        <v>9226</v>
      </c>
      <c r="AR47" s="532">
        <v>8870</v>
      </c>
      <c r="AS47" s="532"/>
      <c r="AT47" s="532">
        <v>0</v>
      </c>
      <c r="AU47" s="532">
        <f t="shared" si="6"/>
        <v>50736</v>
      </c>
      <c r="AV47" s="532">
        <v>20149</v>
      </c>
      <c r="AW47" s="532">
        <f t="shared" si="7"/>
        <v>3265</v>
      </c>
      <c r="AX47" s="532">
        <f t="shared" si="8"/>
        <v>23414</v>
      </c>
      <c r="AY47" s="532">
        <v>6370</v>
      </c>
      <c r="AZ47" s="532">
        <v>3480</v>
      </c>
      <c r="BA47" s="532">
        <v>7054</v>
      </c>
      <c r="BB47" s="532"/>
      <c r="BC47" s="532">
        <f t="shared" si="9"/>
        <v>16904</v>
      </c>
      <c r="BD47" s="532">
        <v>512</v>
      </c>
      <c r="BE47" s="532">
        <v>0</v>
      </c>
      <c r="BF47" s="532">
        <v>0</v>
      </c>
      <c r="BG47" s="532">
        <v>5177</v>
      </c>
      <c r="BH47" s="532">
        <v>10826</v>
      </c>
      <c r="BI47" s="532">
        <f t="shared" si="10"/>
        <v>16515</v>
      </c>
      <c r="BJ47" s="532">
        <v>14686</v>
      </c>
      <c r="BK47" s="532">
        <v>1253</v>
      </c>
      <c r="BL47" s="532">
        <v>34012</v>
      </c>
      <c r="BM47" s="532">
        <v>5006</v>
      </c>
      <c r="BN47" s="532">
        <f t="shared" si="11"/>
        <v>54957</v>
      </c>
      <c r="BO47" s="532">
        <v>80468</v>
      </c>
      <c r="BP47" s="532">
        <v>0</v>
      </c>
      <c r="BQ47" s="532"/>
      <c r="BR47" s="532">
        <v>5657</v>
      </c>
      <c r="BS47" s="532">
        <v>0</v>
      </c>
      <c r="BT47" s="532">
        <f t="shared" si="12"/>
        <v>86125</v>
      </c>
      <c r="BU47" s="532"/>
      <c r="BV47" s="532"/>
      <c r="BW47" s="532">
        <f t="shared" si="13"/>
        <v>0</v>
      </c>
      <c r="BX47" s="532">
        <v>0</v>
      </c>
      <c r="BY47" s="532">
        <f t="shared" si="14"/>
        <v>972536.26</v>
      </c>
      <c r="BZ47" s="543">
        <f t="shared" si="15"/>
        <v>1945072.52</v>
      </c>
      <c r="CA47" s="441">
        <f t="shared" si="16"/>
        <v>723885.26</v>
      </c>
      <c r="CC47" s="316">
        <v>0.47999999998137355</v>
      </c>
      <c r="DW47" s="483"/>
      <c r="DX47" s="442">
        <f>'Table 2'!AS46</f>
      </c>
      <c r="DY47" s="442">
        <f>'Table 2'!AT46</f>
      </c>
      <c r="DZ47" s="442">
        <f>'Table 2'!AU46</f>
      </c>
      <c r="EA47" s="442">
        <f>'Table 2'!AV46</f>
      </c>
      <c r="EB47" s="546"/>
      <c r="EC47" s="442">
        <f>'Table 2'!AX46</f>
      </c>
      <c r="ED47" s="442">
        <f>'Table 2'!AY46</f>
      </c>
      <c r="EE47" s="442">
        <f>'Table 2'!AZ46</f>
      </c>
      <c r="EF47" s="442">
        <f>'Table 2'!BA46</f>
      </c>
      <c r="EG47" s="442">
        <f>'Table 2'!BB46</f>
      </c>
      <c r="EH47" s="442">
        <f>'Table 2'!BC46</f>
      </c>
      <c r="EI47" s="442">
        <f>'Table 2'!BD46</f>
      </c>
      <c r="EJ47" s="442">
        <f>'Table 2'!BE46</f>
      </c>
      <c r="EK47" s="442">
        <f>'Table 2'!BF46</f>
      </c>
      <c r="EL47" s="442">
        <f>'Table 2'!BG46</f>
      </c>
      <c r="EM47" s="442">
        <f>'Table 2'!BH46</f>
      </c>
      <c r="EN47" s="546"/>
      <c r="EO47" s="434">
        <f t="shared" si="17"/>
        <v>0</v>
      </c>
    </row>
    <row r="48" spans="2:145" ht="12.75">
      <c r="B48" s="531">
        <v>27</v>
      </c>
      <c r="C48" s="531" t="s">
        <v>536</v>
      </c>
      <c r="D48" s="531">
        <v>2057</v>
      </c>
      <c r="E48" s="532"/>
      <c r="F48" s="532">
        <v>11</v>
      </c>
      <c r="G48" s="532"/>
      <c r="H48" s="532"/>
      <c r="I48" s="532">
        <v>22</v>
      </c>
      <c r="J48" s="532"/>
      <c r="K48" s="532">
        <v>30</v>
      </c>
      <c r="L48" s="532">
        <v>30</v>
      </c>
      <c r="M48" s="532"/>
      <c r="N48" s="532">
        <v>30</v>
      </c>
      <c r="O48" s="532">
        <v>28</v>
      </c>
      <c r="P48" s="532">
        <v>31</v>
      </c>
      <c r="Q48" s="532">
        <v>26</v>
      </c>
      <c r="R48" s="532"/>
      <c r="S48" s="532"/>
      <c r="T48" s="532"/>
      <c r="U48" s="532"/>
      <c r="V48" s="532"/>
      <c r="W48" s="532"/>
      <c r="X48" s="532"/>
      <c r="Y48" s="532"/>
      <c r="Z48" s="504"/>
      <c r="AA48" s="504"/>
      <c r="AB48" s="532">
        <f t="shared" si="2"/>
        <v>208</v>
      </c>
      <c r="AC48" s="532">
        <f t="shared" si="3"/>
        <v>444474.97</v>
      </c>
      <c r="AD48" s="532">
        <v>27416</v>
      </c>
      <c r="AE48" s="532"/>
      <c r="AF48" s="532">
        <v>9440</v>
      </c>
      <c r="AG48" s="532"/>
      <c r="AH48" s="561"/>
      <c r="AI48" s="532"/>
      <c r="AJ48" s="532">
        <f t="shared" si="4"/>
        <v>36856</v>
      </c>
      <c r="AK48" s="539"/>
      <c r="AL48" s="540"/>
      <c r="AM48" s="562"/>
      <c r="AN48" s="562"/>
      <c r="AO48" s="542">
        <f t="shared" si="5"/>
        <v>0</v>
      </c>
      <c r="AP48" s="532">
        <v>15232</v>
      </c>
      <c r="AQ48" s="532">
        <v>3008</v>
      </c>
      <c r="AR48" s="532">
        <v>2892</v>
      </c>
      <c r="AS48" s="532"/>
      <c r="AT48" s="532">
        <v>0</v>
      </c>
      <c r="AU48" s="532">
        <f t="shared" si="6"/>
        <v>21132</v>
      </c>
      <c r="AV48" s="532">
        <v>8959</v>
      </c>
      <c r="AW48" s="532">
        <f t="shared" si="7"/>
        <v>3265</v>
      </c>
      <c r="AX48" s="532">
        <f t="shared" si="8"/>
        <v>12224</v>
      </c>
      <c r="AY48" s="532">
        <v>2076</v>
      </c>
      <c r="AZ48" s="532">
        <v>535</v>
      </c>
      <c r="BA48" s="532">
        <v>755</v>
      </c>
      <c r="BB48" s="532"/>
      <c r="BC48" s="532">
        <f t="shared" si="9"/>
        <v>3366</v>
      </c>
      <c r="BD48" s="532">
        <v>98</v>
      </c>
      <c r="BE48" s="532">
        <v>0</v>
      </c>
      <c r="BF48" s="532">
        <v>0</v>
      </c>
      <c r="BG48" s="532">
        <v>796</v>
      </c>
      <c r="BH48" s="532">
        <v>1159</v>
      </c>
      <c r="BI48" s="532">
        <f t="shared" si="10"/>
        <v>2053</v>
      </c>
      <c r="BJ48" s="532">
        <v>12616</v>
      </c>
      <c r="BK48" s="532">
        <v>281</v>
      </c>
      <c r="BL48" s="532">
        <v>31095</v>
      </c>
      <c r="BM48" s="532">
        <v>2801</v>
      </c>
      <c r="BN48" s="532">
        <f t="shared" si="11"/>
        <v>46793</v>
      </c>
      <c r="BO48" s="532">
        <v>81170</v>
      </c>
      <c r="BP48" s="532">
        <v>24610</v>
      </c>
      <c r="BQ48" s="532"/>
      <c r="BR48" s="532">
        <v>5172</v>
      </c>
      <c r="BS48" s="532">
        <v>0</v>
      </c>
      <c r="BT48" s="532">
        <f t="shared" si="12"/>
        <v>110952</v>
      </c>
      <c r="BU48" s="532"/>
      <c r="BV48" s="532"/>
      <c r="BW48" s="532">
        <f t="shared" si="13"/>
        <v>0</v>
      </c>
      <c r="BX48" s="532">
        <v>0</v>
      </c>
      <c r="BY48" s="532">
        <f t="shared" si="14"/>
        <v>677850.97</v>
      </c>
      <c r="BZ48" s="543">
        <f t="shared" si="15"/>
        <v>1355701.94</v>
      </c>
      <c r="CA48" s="441">
        <f t="shared" si="16"/>
        <v>444474.97</v>
      </c>
      <c r="CC48" s="316">
        <v>-0.30000000004656613</v>
      </c>
      <c r="DW48" s="483"/>
      <c r="DX48" s="442">
        <f>'Table 2'!AS47</f>
      </c>
      <c r="DY48" s="442">
        <f>'Table 2'!AT47</f>
      </c>
      <c r="DZ48" s="442">
        <f>'Table 2'!AU47</f>
      </c>
      <c r="EA48" s="442">
        <f>'Table 2'!AV47</f>
      </c>
      <c r="EB48" s="546"/>
      <c r="EC48" s="442">
        <f>'Table 2'!AX47</f>
      </c>
      <c r="ED48" s="442">
        <f>'Table 2'!AY47</f>
      </c>
      <c r="EE48" s="442">
        <f>'Table 2'!AZ47</f>
      </c>
      <c r="EF48" s="442">
        <f>'Table 2'!BA47</f>
      </c>
      <c r="EG48" s="442">
        <f>'Table 2'!BB47</f>
      </c>
      <c r="EH48" s="442">
        <f>'Table 2'!BC47</f>
      </c>
      <c r="EI48" s="442">
        <f>'Table 2'!BD47</f>
      </c>
      <c r="EJ48" s="442">
        <f>'Table 2'!BE47</f>
      </c>
      <c r="EK48" s="442">
        <f>'Table 2'!BF47</f>
      </c>
      <c r="EL48" s="442">
        <f>'Table 2'!BG47</f>
      </c>
      <c r="EM48" s="442">
        <f>'Table 2'!BH47</f>
      </c>
      <c r="EN48" s="546"/>
      <c r="EO48" s="434">
        <f t="shared" si="17"/>
        <v>0</v>
      </c>
    </row>
    <row r="49" spans="2:145" ht="12.75">
      <c r="B49" s="531">
        <v>60</v>
      </c>
      <c r="C49" s="531" t="s">
        <v>537</v>
      </c>
      <c r="D49" s="531">
        <v>2058</v>
      </c>
      <c r="E49" s="532"/>
      <c r="F49" s="532">
        <v>10</v>
      </c>
      <c r="G49" s="532"/>
      <c r="H49" s="532"/>
      <c r="I49" s="532">
        <v>30</v>
      </c>
      <c r="J49" s="532"/>
      <c r="K49" s="532">
        <v>27</v>
      </c>
      <c r="L49" s="532">
        <v>27</v>
      </c>
      <c r="M49" s="532"/>
      <c r="N49" s="532">
        <v>26</v>
      </c>
      <c r="O49" s="532">
        <v>28</v>
      </c>
      <c r="P49" s="532">
        <v>28</v>
      </c>
      <c r="Q49" s="532">
        <v>43</v>
      </c>
      <c r="R49" s="532"/>
      <c r="S49" s="532"/>
      <c r="T49" s="532"/>
      <c r="U49" s="532"/>
      <c r="V49" s="532"/>
      <c r="W49" s="532"/>
      <c r="X49" s="532"/>
      <c r="Y49" s="532"/>
      <c r="Z49" s="504"/>
      <c r="AA49" s="504"/>
      <c r="AB49" s="532">
        <f t="shared" si="2"/>
        <v>219</v>
      </c>
      <c r="AC49" s="532">
        <f t="shared" si="3"/>
        <v>474541.63000000006</v>
      </c>
      <c r="AD49" s="532">
        <v>37134</v>
      </c>
      <c r="AE49" s="532"/>
      <c r="AF49" s="532">
        <v>0</v>
      </c>
      <c r="AG49" s="532"/>
      <c r="AH49" s="561"/>
      <c r="AI49" s="532"/>
      <c r="AJ49" s="532">
        <f t="shared" si="4"/>
        <v>37134</v>
      </c>
      <c r="AK49" s="539"/>
      <c r="AL49" s="540"/>
      <c r="AM49" s="562"/>
      <c r="AN49" s="562"/>
      <c r="AO49" s="542">
        <f t="shared" si="5"/>
        <v>0</v>
      </c>
      <c r="AP49" s="532">
        <v>11968</v>
      </c>
      <c r="AQ49" s="532">
        <v>8269</v>
      </c>
      <c r="AR49" s="532">
        <v>7950</v>
      </c>
      <c r="AS49" s="532"/>
      <c r="AT49" s="532">
        <v>0</v>
      </c>
      <c r="AU49" s="532">
        <f t="shared" si="6"/>
        <v>28187</v>
      </c>
      <c r="AV49" s="532">
        <v>434</v>
      </c>
      <c r="AW49" s="532">
        <f t="shared" si="7"/>
        <v>3265</v>
      </c>
      <c r="AX49" s="532">
        <f t="shared" si="8"/>
        <v>3699</v>
      </c>
      <c r="AY49" s="532">
        <v>5709</v>
      </c>
      <c r="AZ49" s="532">
        <v>937</v>
      </c>
      <c r="BA49" s="532">
        <v>1929</v>
      </c>
      <c r="BB49" s="532"/>
      <c r="BC49" s="532">
        <f t="shared" si="9"/>
        <v>8575</v>
      </c>
      <c r="BD49" s="532">
        <v>122</v>
      </c>
      <c r="BE49" s="532">
        <v>0</v>
      </c>
      <c r="BF49" s="532">
        <v>0</v>
      </c>
      <c r="BG49" s="532">
        <v>1394</v>
      </c>
      <c r="BH49" s="532">
        <v>2960</v>
      </c>
      <c r="BI49" s="532">
        <f t="shared" si="10"/>
        <v>4476</v>
      </c>
      <c r="BJ49" s="532">
        <v>31389</v>
      </c>
      <c r="BK49" s="532">
        <v>11910</v>
      </c>
      <c r="BL49" s="532">
        <v>54884</v>
      </c>
      <c r="BM49" s="532">
        <v>6757</v>
      </c>
      <c r="BN49" s="532">
        <f t="shared" si="11"/>
        <v>104940</v>
      </c>
      <c r="BO49" s="532">
        <v>81170</v>
      </c>
      <c r="BP49" s="532">
        <v>19579</v>
      </c>
      <c r="BQ49" s="532"/>
      <c r="BR49" s="532">
        <v>9128</v>
      </c>
      <c r="BS49" s="532">
        <v>14749</v>
      </c>
      <c r="BT49" s="532">
        <f t="shared" si="12"/>
        <v>124626</v>
      </c>
      <c r="BU49" s="532"/>
      <c r="BV49" s="532"/>
      <c r="BW49" s="532">
        <f t="shared" si="13"/>
        <v>0</v>
      </c>
      <c r="BX49" s="532">
        <v>0</v>
      </c>
      <c r="BY49" s="532">
        <f t="shared" si="14"/>
        <v>786178.6300000001</v>
      </c>
      <c r="BZ49" s="543">
        <f t="shared" si="15"/>
        <v>1572357.2600000002</v>
      </c>
      <c r="CA49" s="441">
        <f t="shared" si="16"/>
        <v>474541.63000000006</v>
      </c>
      <c r="CC49" s="316">
        <v>0.2600000000093132</v>
      </c>
      <c r="DW49" s="483"/>
      <c r="DX49" s="442">
        <f>'Table 2'!AS48</f>
      </c>
      <c r="DY49" s="442">
        <f>'Table 2'!AT48</f>
      </c>
      <c r="DZ49" s="442">
        <f>'Table 2'!AU48</f>
      </c>
      <c r="EA49" s="442">
        <f>'Table 2'!AV48</f>
      </c>
      <c r="EB49" s="546"/>
      <c r="EC49" s="442">
        <f>'Table 2'!AX48</f>
      </c>
      <c r="ED49" s="442">
        <f>'Table 2'!AY48</f>
      </c>
      <c r="EE49" s="442">
        <f>'Table 2'!AZ48</f>
      </c>
      <c r="EF49" s="442">
        <f>'Table 2'!BA48</f>
      </c>
      <c r="EG49" s="442">
        <f>'Table 2'!BB48</f>
      </c>
      <c r="EH49" s="442">
        <f>'Table 2'!BC48</f>
      </c>
      <c r="EI49" s="442">
        <f>'Table 2'!BD48</f>
      </c>
      <c r="EJ49" s="442">
        <f>'Table 2'!BE48</f>
      </c>
      <c r="EK49" s="442">
        <f>'Table 2'!BF48</f>
      </c>
      <c r="EL49" s="442">
        <f>'Table 2'!BG48</f>
      </c>
      <c r="EM49" s="442">
        <f>'Table 2'!BH48</f>
      </c>
      <c r="EN49" s="546"/>
      <c r="EO49" s="434">
        <f t="shared" si="17"/>
        <v>0</v>
      </c>
    </row>
    <row r="50" spans="2:145" ht="12.75">
      <c r="B50" s="531">
        <v>11</v>
      </c>
      <c r="C50" s="531" t="s">
        <v>538</v>
      </c>
      <c r="D50" s="531">
        <v>2059</v>
      </c>
      <c r="E50" s="532"/>
      <c r="F50" s="532">
        <v>0</v>
      </c>
      <c r="G50" s="532"/>
      <c r="H50" s="532"/>
      <c r="I50" s="532">
        <v>0</v>
      </c>
      <c r="J50" s="532"/>
      <c r="K50" s="532">
        <v>0</v>
      </c>
      <c r="L50" s="532">
        <v>0</v>
      </c>
      <c r="M50" s="532"/>
      <c r="N50" s="532">
        <v>120</v>
      </c>
      <c r="O50" s="532">
        <v>113</v>
      </c>
      <c r="P50" s="532">
        <v>118</v>
      </c>
      <c r="Q50" s="532">
        <v>119</v>
      </c>
      <c r="R50" s="532"/>
      <c r="S50" s="532"/>
      <c r="T50" s="532"/>
      <c r="U50" s="532"/>
      <c r="V50" s="532"/>
      <c r="W50" s="532"/>
      <c r="X50" s="532"/>
      <c r="Y50" s="532"/>
      <c r="Z50" s="504"/>
      <c r="AA50" s="504"/>
      <c r="AB50" s="532">
        <f t="shared" si="2"/>
        <v>470</v>
      </c>
      <c r="AC50" s="532">
        <f t="shared" si="3"/>
        <v>1018339.1000000001</v>
      </c>
      <c r="AD50" s="532">
        <v>0</v>
      </c>
      <c r="AE50" s="532"/>
      <c r="AF50" s="532">
        <v>0</v>
      </c>
      <c r="AG50" s="532"/>
      <c r="AH50" s="561"/>
      <c r="AI50" s="532"/>
      <c r="AJ50" s="532">
        <f t="shared" si="4"/>
        <v>0</v>
      </c>
      <c r="AK50" s="539"/>
      <c r="AL50" s="540"/>
      <c r="AM50" s="562"/>
      <c r="AN50" s="562"/>
      <c r="AO50" s="542">
        <f t="shared" si="5"/>
        <v>0</v>
      </c>
      <c r="AP50" s="532">
        <v>50968</v>
      </c>
      <c r="AQ50" s="532">
        <v>17027</v>
      </c>
      <c r="AR50" s="532">
        <v>16370</v>
      </c>
      <c r="AS50" s="532"/>
      <c r="AT50" s="532">
        <v>0</v>
      </c>
      <c r="AU50" s="532">
        <f t="shared" si="6"/>
        <v>84365</v>
      </c>
      <c r="AV50" s="532">
        <v>30676</v>
      </c>
      <c r="AW50" s="532">
        <f t="shared" si="7"/>
        <v>3265</v>
      </c>
      <c r="AX50" s="532">
        <f t="shared" si="8"/>
        <v>33941</v>
      </c>
      <c r="AY50" s="532">
        <v>11756</v>
      </c>
      <c r="AZ50" s="532">
        <v>10306</v>
      </c>
      <c r="BA50" s="532">
        <v>11795</v>
      </c>
      <c r="BB50" s="532"/>
      <c r="BC50" s="532">
        <f t="shared" si="9"/>
        <v>33857</v>
      </c>
      <c r="BD50" s="532">
        <v>1341</v>
      </c>
      <c r="BE50" s="532">
        <v>0</v>
      </c>
      <c r="BF50" s="532">
        <v>0</v>
      </c>
      <c r="BG50" s="532">
        <v>15331</v>
      </c>
      <c r="BH50" s="532">
        <v>18103</v>
      </c>
      <c r="BI50" s="532">
        <f t="shared" si="10"/>
        <v>34775</v>
      </c>
      <c r="BJ50" s="532">
        <v>21195</v>
      </c>
      <c r="BK50" s="532">
        <v>2467</v>
      </c>
      <c r="BL50" s="532">
        <v>56500</v>
      </c>
      <c r="BM50" s="532">
        <v>5741</v>
      </c>
      <c r="BN50" s="532">
        <f t="shared" si="11"/>
        <v>85903</v>
      </c>
      <c r="BO50" s="532">
        <v>80468</v>
      </c>
      <c r="BP50" s="532">
        <v>0</v>
      </c>
      <c r="BQ50" s="532"/>
      <c r="BR50" s="532">
        <v>9396</v>
      </c>
      <c r="BS50" s="532">
        <v>0</v>
      </c>
      <c r="BT50" s="532">
        <f t="shared" si="12"/>
        <v>89864</v>
      </c>
      <c r="BU50" s="532"/>
      <c r="BV50" s="532"/>
      <c r="BW50" s="532">
        <f t="shared" si="13"/>
        <v>0</v>
      </c>
      <c r="BX50" s="532">
        <v>0</v>
      </c>
      <c r="BY50" s="532">
        <f t="shared" si="14"/>
        <v>1381044.1</v>
      </c>
      <c r="BZ50" s="543">
        <f t="shared" si="15"/>
        <v>2762088.2</v>
      </c>
      <c r="CA50" s="441">
        <f t="shared" si="16"/>
        <v>1018339.1000000001</v>
      </c>
      <c r="CC50" s="316">
        <v>0.2600000000093132</v>
      </c>
      <c r="DW50" s="483"/>
      <c r="DX50" s="442">
        <f>'Table 2'!AS49</f>
      </c>
      <c r="DY50" s="442">
        <f>'Table 2'!AT49</f>
      </c>
      <c r="DZ50" s="442">
        <f>'Table 2'!AU49</f>
      </c>
      <c r="EA50" s="442">
        <f>'Table 2'!AV49</f>
      </c>
      <c r="EB50" s="546"/>
      <c r="EC50" s="442">
        <f>'Table 2'!AX49</f>
      </c>
      <c r="ED50" s="442">
        <f>'Table 2'!AY49</f>
      </c>
      <c r="EE50" s="442">
        <f>'Table 2'!AZ49</f>
      </c>
      <c r="EF50" s="442">
        <f>'Table 2'!BA49</f>
      </c>
      <c r="EG50" s="442">
        <f>'Table 2'!BB49</f>
      </c>
      <c r="EH50" s="442">
        <f>'Table 2'!BC49</f>
      </c>
      <c r="EI50" s="442">
        <f>'Table 2'!BD49</f>
      </c>
      <c r="EJ50" s="442">
        <f>'Table 2'!BE49</f>
      </c>
      <c r="EK50" s="442">
        <f>'Table 2'!BF49</f>
      </c>
      <c r="EL50" s="442">
        <f>'Table 2'!BG49</f>
      </c>
      <c r="EM50" s="442">
        <f>'Table 2'!BH49</f>
      </c>
      <c r="EN50" s="546"/>
      <c r="EO50" s="434">
        <f t="shared" si="17"/>
        <v>0</v>
      </c>
    </row>
    <row r="51" spans="2:145" ht="12.75">
      <c r="B51" s="531">
        <v>10</v>
      </c>
      <c r="C51" s="531" t="s">
        <v>539</v>
      </c>
      <c r="D51" s="531">
        <v>2060</v>
      </c>
      <c r="E51" s="532"/>
      <c r="F51" s="532">
        <v>40</v>
      </c>
      <c r="G51" s="532"/>
      <c r="H51" s="532"/>
      <c r="I51" s="532">
        <v>120</v>
      </c>
      <c r="J51" s="532"/>
      <c r="K51" s="532">
        <v>120</v>
      </c>
      <c r="L51" s="532">
        <v>116</v>
      </c>
      <c r="M51" s="532"/>
      <c r="N51" s="532">
        <v>0</v>
      </c>
      <c r="O51" s="532">
        <v>0</v>
      </c>
      <c r="P51" s="532">
        <v>0</v>
      </c>
      <c r="Q51" s="532">
        <v>0</v>
      </c>
      <c r="R51" s="532"/>
      <c r="S51" s="532"/>
      <c r="T51" s="532"/>
      <c r="U51" s="532"/>
      <c r="V51" s="532"/>
      <c r="W51" s="532"/>
      <c r="X51" s="532"/>
      <c r="Y51" s="532"/>
      <c r="Z51" s="504"/>
      <c r="AA51" s="504"/>
      <c r="AB51" s="532">
        <f t="shared" si="2"/>
        <v>396</v>
      </c>
      <c r="AC51" s="532">
        <f t="shared" si="3"/>
        <v>860705.0799999998</v>
      </c>
      <c r="AD51" s="532">
        <v>109666</v>
      </c>
      <c r="AE51" s="532"/>
      <c r="AF51" s="532">
        <v>0</v>
      </c>
      <c r="AG51" s="532"/>
      <c r="AH51" s="561"/>
      <c r="AI51" s="532"/>
      <c r="AJ51" s="532">
        <f t="shared" si="4"/>
        <v>109666</v>
      </c>
      <c r="AK51" s="539"/>
      <c r="AL51" s="540"/>
      <c r="AM51" s="562"/>
      <c r="AN51" s="562"/>
      <c r="AO51" s="542">
        <f t="shared" si="5"/>
        <v>0</v>
      </c>
      <c r="AP51" s="532">
        <v>0</v>
      </c>
      <c r="AQ51" s="532">
        <v>18478</v>
      </c>
      <c r="AR51" s="532">
        <v>17765</v>
      </c>
      <c r="AS51" s="532"/>
      <c r="AT51" s="532">
        <v>0</v>
      </c>
      <c r="AU51" s="532">
        <f t="shared" si="6"/>
        <v>36243</v>
      </c>
      <c r="AV51" s="532">
        <v>0</v>
      </c>
      <c r="AW51" s="532">
        <f t="shared" si="7"/>
        <v>3265</v>
      </c>
      <c r="AX51" s="532">
        <f t="shared" si="8"/>
        <v>3265</v>
      </c>
      <c r="AY51" s="532">
        <v>12758</v>
      </c>
      <c r="AZ51" s="532">
        <v>6826</v>
      </c>
      <c r="BA51" s="532">
        <v>9312</v>
      </c>
      <c r="BB51" s="532"/>
      <c r="BC51" s="532">
        <f t="shared" si="9"/>
        <v>28896</v>
      </c>
      <c r="BD51" s="532">
        <v>1024</v>
      </c>
      <c r="BE51" s="532">
        <v>0</v>
      </c>
      <c r="BF51" s="532">
        <v>0</v>
      </c>
      <c r="BG51" s="532">
        <v>10154</v>
      </c>
      <c r="BH51" s="532">
        <v>14291</v>
      </c>
      <c r="BI51" s="532">
        <f t="shared" si="10"/>
        <v>25469</v>
      </c>
      <c r="BJ51" s="532">
        <v>16023</v>
      </c>
      <c r="BK51" s="532">
        <v>1320</v>
      </c>
      <c r="BL51" s="532">
        <v>34268</v>
      </c>
      <c r="BM51" s="532">
        <v>2133</v>
      </c>
      <c r="BN51" s="532">
        <f t="shared" si="11"/>
        <v>53744</v>
      </c>
      <c r="BO51" s="532">
        <v>81170</v>
      </c>
      <c r="BP51" s="532">
        <v>0</v>
      </c>
      <c r="BQ51" s="532"/>
      <c r="BR51" s="532">
        <v>5699</v>
      </c>
      <c r="BS51" s="532">
        <v>0</v>
      </c>
      <c r="BT51" s="532">
        <f t="shared" si="12"/>
        <v>86869</v>
      </c>
      <c r="BU51" s="532"/>
      <c r="BV51" s="532"/>
      <c r="BW51" s="532">
        <f t="shared" si="13"/>
        <v>0</v>
      </c>
      <c r="BX51" s="532">
        <v>0</v>
      </c>
      <c r="BY51" s="532">
        <f t="shared" si="14"/>
        <v>1204857.0799999998</v>
      </c>
      <c r="BZ51" s="543">
        <f t="shared" si="15"/>
        <v>2409714.1599999997</v>
      </c>
      <c r="CA51" s="441">
        <f t="shared" si="16"/>
        <v>860705.0799999998</v>
      </c>
      <c r="CC51" s="316">
        <v>-1.257499999832362</v>
      </c>
      <c r="DW51" s="483"/>
      <c r="DX51" s="442">
        <f>'Table 2'!AS50</f>
      </c>
      <c r="DY51" s="442">
        <f>'Table 2'!AT50</f>
      </c>
      <c r="DZ51" s="442">
        <f>'Table 2'!AU50</f>
      </c>
      <c r="EA51" s="442">
        <f>'Table 2'!AV50</f>
      </c>
      <c r="EB51" s="546"/>
      <c r="EC51" s="442">
        <f>'Table 2'!AX50</f>
      </c>
      <c r="ED51" s="442">
        <f>'Table 2'!AY50</f>
      </c>
      <c r="EE51" s="442">
        <f>'Table 2'!AZ50</f>
      </c>
      <c r="EF51" s="442">
        <f>'Table 2'!BA50</f>
      </c>
      <c r="EG51" s="442">
        <f>'Table 2'!BB50</f>
      </c>
      <c r="EH51" s="442">
        <f>'Table 2'!BC50</f>
      </c>
      <c r="EI51" s="442">
        <f>'Table 2'!BD50</f>
      </c>
      <c r="EJ51" s="442">
        <f>'Table 2'!BE50</f>
      </c>
      <c r="EK51" s="442">
        <f>'Table 2'!BF50</f>
      </c>
      <c r="EL51" s="442">
        <f>'Table 2'!BG50</f>
      </c>
      <c r="EM51" s="442">
        <f>'Table 2'!BH50</f>
      </c>
      <c r="EN51" s="546"/>
      <c r="EO51" s="434">
        <f t="shared" si="17"/>
        <v>0</v>
      </c>
    </row>
    <row r="52" spans="2:145" ht="12.75">
      <c r="B52" s="531">
        <v>3</v>
      </c>
      <c r="C52" s="531" t="s">
        <v>540</v>
      </c>
      <c r="D52" s="531">
        <v>2062</v>
      </c>
      <c r="E52" s="532"/>
      <c r="F52" s="532">
        <v>3.75</v>
      </c>
      <c r="G52" s="532"/>
      <c r="H52" s="532"/>
      <c r="I52" s="532">
        <v>11.666666666666666</v>
      </c>
      <c r="J52" s="532"/>
      <c r="K52" s="532">
        <v>10.416666666666666</v>
      </c>
      <c r="L52" s="532">
        <v>8.75</v>
      </c>
      <c r="M52" s="532"/>
      <c r="N52" s="532">
        <v>7.5</v>
      </c>
      <c r="O52" s="532">
        <v>10.416666666666666</v>
      </c>
      <c r="P52" s="532">
        <v>10</v>
      </c>
      <c r="Q52" s="532">
        <v>10.833333333333334</v>
      </c>
      <c r="R52" s="532"/>
      <c r="S52" s="532"/>
      <c r="T52" s="532"/>
      <c r="U52" s="532"/>
      <c r="V52" s="532"/>
      <c r="W52" s="532"/>
      <c r="X52" s="532"/>
      <c r="Y52" s="532"/>
      <c r="Z52" s="504"/>
      <c r="AA52" s="504"/>
      <c r="AB52" s="532">
        <f t="shared" si="2"/>
        <v>73.33333333333333</v>
      </c>
      <c r="AC52" s="532">
        <f t="shared" si="3"/>
        <v>159112.0208333333</v>
      </c>
      <c r="AD52" s="532">
        <v>15473</v>
      </c>
      <c r="AE52" s="532"/>
      <c r="AF52" s="532">
        <v>4917</v>
      </c>
      <c r="AG52" s="532"/>
      <c r="AH52" s="561"/>
      <c r="AI52" s="532"/>
      <c r="AJ52" s="532">
        <f t="shared" si="4"/>
        <v>20390</v>
      </c>
      <c r="AK52" s="539"/>
      <c r="AL52" s="540"/>
      <c r="AM52" s="562"/>
      <c r="AN52" s="562"/>
      <c r="AO52" s="542">
        <f t="shared" si="5"/>
        <v>0</v>
      </c>
      <c r="AP52" s="532">
        <v>7253</v>
      </c>
      <c r="AQ52" s="532">
        <v>9332</v>
      </c>
      <c r="AR52" s="532">
        <v>8971</v>
      </c>
      <c r="AS52" s="532"/>
      <c r="AT52" s="532">
        <v>0</v>
      </c>
      <c r="AU52" s="532">
        <f t="shared" si="6"/>
        <v>25556</v>
      </c>
      <c r="AV52" s="532">
        <v>0</v>
      </c>
      <c r="AW52" s="532">
        <f>+$AW$15*5/12</f>
        <v>1360.4166666666667</v>
      </c>
      <c r="AX52" s="532">
        <f t="shared" si="8"/>
        <v>1360.4166666666667</v>
      </c>
      <c r="AY52" s="532">
        <v>6442</v>
      </c>
      <c r="AZ52" s="532">
        <v>3792.5</v>
      </c>
      <c r="BA52" s="532">
        <v>2659.5833333333335</v>
      </c>
      <c r="BB52" s="532"/>
      <c r="BC52" s="532">
        <f t="shared" si="9"/>
        <v>12894.083333333334</v>
      </c>
      <c r="BD52" s="532">
        <v>448</v>
      </c>
      <c r="BE52" s="532">
        <v>0</v>
      </c>
      <c r="BF52" s="532">
        <v>2847</v>
      </c>
      <c r="BG52" s="532">
        <v>5641.25</v>
      </c>
      <c r="BH52" s="532">
        <v>4082.0833333333335</v>
      </c>
      <c r="BI52" s="532">
        <f t="shared" si="10"/>
        <v>13018.333333333334</v>
      </c>
      <c r="BJ52" s="532">
        <v>4415</v>
      </c>
      <c r="BK52" s="532">
        <v>600</v>
      </c>
      <c r="BL52" s="532">
        <v>14408</v>
      </c>
      <c r="BM52" s="532">
        <v>2303</v>
      </c>
      <c r="BN52" s="532">
        <f t="shared" si="11"/>
        <v>21726</v>
      </c>
      <c r="BO52" s="532">
        <v>33820.583333333336</v>
      </c>
      <c r="BP52" s="532">
        <v>14129</v>
      </c>
      <c r="BQ52" s="532"/>
      <c r="BR52" s="532">
        <v>0</v>
      </c>
      <c r="BS52" s="532">
        <v>0</v>
      </c>
      <c r="BT52" s="532">
        <f t="shared" si="12"/>
        <v>47949.583333333336</v>
      </c>
      <c r="BU52" s="532"/>
      <c r="BV52" s="532"/>
      <c r="BW52" s="532">
        <f t="shared" si="13"/>
        <v>0</v>
      </c>
      <c r="BX52" s="532">
        <v>0</v>
      </c>
      <c r="BY52" s="532">
        <f t="shared" si="14"/>
        <v>302006.4375</v>
      </c>
      <c r="BZ52" s="543">
        <f t="shared" si="15"/>
        <v>604012.8749999998</v>
      </c>
      <c r="CA52" s="441">
        <f t="shared" si="16"/>
        <v>159112.0208333333</v>
      </c>
      <c r="CC52" s="316">
        <v>-0.030000000027939677</v>
      </c>
      <c r="DW52" s="483"/>
      <c r="DX52" s="442">
        <f>'Table 2'!AS51</f>
      </c>
      <c r="DY52" s="442">
        <f>'Table 2'!AT51</f>
      </c>
      <c r="DZ52" s="442">
        <f>'Table 2'!AU51</f>
      </c>
      <c r="EA52" s="442">
        <f>'Table 2'!AV51</f>
      </c>
      <c r="EB52" s="546"/>
      <c r="EC52" s="442">
        <f>'Table 2'!AX51</f>
      </c>
      <c r="ED52" s="442">
        <f>'Table 2'!AY51</f>
      </c>
      <c r="EE52" s="442">
        <f>'Table 2'!AZ51</f>
      </c>
      <c r="EF52" s="442">
        <f>'Table 2'!BA51</f>
      </c>
      <c r="EG52" s="442">
        <f>'Table 2'!BB51</f>
      </c>
      <c r="EH52" s="442">
        <f>'Table 2'!BC51</f>
      </c>
      <c r="EI52" s="442">
        <f>'Table 2'!BD51</f>
      </c>
      <c r="EJ52" s="442">
        <f>'Table 2'!BE51</f>
      </c>
      <c r="EK52" s="442">
        <f>'Table 2'!BF51</f>
      </c>
      <c r="EL52" s="442">
        <f>'Table 2'!BG51</f>
      </c>
      <c r="EM52" s="442">
        <f>'Table 2'!BH51</f>
      </c>
      <c r="EN52" s="546"/>
      <c r="EO52" s="434">
        <f t="shared" si="17"/>
        <v>0</v>
      </c>
    </row>
    <row r="53" spans="2:145" ht="12.75">
      <c r="B53" s="531">
        <v>1</v>
      </c>
      <c r="C53" s="531" t="s">
        <v>541</v>
      </c>
      <c r="D53" s="531">
        <v>2064</v>
      </c>
      <c r="E53" s="532"/>
      <c r="F53" s="532">
        <v>3.75</v>
      </c>
      <c r="G53" s="532"/>
      <c r="H53" s="532"/>
      <c r="I53" s="532">
        <v>8.333333333333334</v>
      </c>
      <c r="J53" s="532"/>
      <c r="K53" s="532">
        <v>10.833333333333334</v>
      </c>
      <c r="L53" s="532">
        <v>8.75</v>
      </c>
      <c r="M53" s="532"/>
      <c r="N53" s="532">
        <v>11.25</v>
      </c>
      <c r="O53" s="532">
        <v>5.833333333333333</v>
      </c>
      <c r="P53" s="532">
        <v>9.166666666666666</v>
      </c>
      <c r="Q53" s="532">
        <v>11.666666666666666</v>
      </c>
      <c r="R53" s="532"/>
      <c r="S53" s="532"/>
      <c r="T53" s="532"/>
      <c r="U53" s="532"/>
      <c r="V53" s="532"/>
      <c r="W53" s="532"/>
      <c r="X53" s="532"/>
      <c r="Y53" s="532"/>
      <c r="Z53" s="504"/>
      <c r="AA53" s="504"/>
      <c r="AB53" s="532">
        <f t="shared" si="2"/>
        <v>69.58333333333334</v>
      </c>
      <c r="AC53" s="532">
        <f t="shared" si="3"/>
        <v>149246.53333333333</v>
      </c>
      <c r="AD53" s="532">
        <v>11423</v>
      </c>
      <c r="AE53" s="532"/>
      <c r="AF53" s="532">
        <v>8358</v>
      </c>
      <c r="AG53" s="532"/>
      <c r="AH53" s="561"/>
      <c r="AI53" s="532"/>
      <c r="AJ53" s="532">
        <f t="shared" si="4"/>
        <v>19781</v>
      </c>
      <c r="AK53" s="539"/>
      <c r="AL53" s="540"/>
      <c r="AM53" s="562"/>
      <c r="AN53" s="562"/>
      <c r="AO53" s="542">
        <f t="shared" si="5"/>
        <v>0</v>
      </c>
      <c r="AP53" s="532">
        <v>7253</v>
      </c>
      <c r="AQ53" s="532">
        <v>5702</v>
      </c>
      <c r="AR53" s="532">
        <v>5482</v>
      </c>
      <c r="AS53" s="532"/>
      <c r="AT53" s="532">
        <v>0</v>
      </c>
      <c r="AU53" s="532">
        <f t="shared" si="6"/>
        <v>18437</v>
      </c>
      <c r="AV53" s="532">
        <v>191</v>
      </c>
      <c r="AW53" s="532">
        <f>+$AW$15*5/12</f>
        <v>1360.4166666666667</v>
      </c>
      <c r="AX53" s="532">
        <f t="shared" si="8"/>
        <v>1551.4166666666667</v>
      </c>
      <c r="AY53" s="532">
        <v>3937</v>
      </c>
      <c r="AZ53" s="532">
        <v>4071.25</v>
      </c>
      <c r="BA53" s="532">
        <v>2332.0833333333335</v>
      </c>
      <c r="BB53" s="532"/>
      <c r="BC53" s="532">
        <f t="shared" si="9"/>
        <v>10340.333333333334</v>
      </c>
      <c r="BD53" s="532">
        <v>437</v>
      </c>
      <c r="BE53" s="532">
        <v>0</v>
      </c>
      <c r="BF53" s="532">
        <v>2847</v>
      </c>
      <c r="BG53" s="532">
        <v>6055.833333333333</v>
      </c>
      <c r="BH53" s="532">
        <v>3579.1666666666665</v>
      </c>
      <c r="BI53" s="532">
        <f t="shared" si="10"/>
        <v>12918.999999999998</v>
      </c>
      <c r="BJ53" s="532">
        <v>5404</v>
      </c>
      <c r="BK53" s="532">
        <v>555</v>
      </c>
      <c r="BL53" s="532">
        <v>16225</v>
      </c>
      <c r="BM53" s="532">
        <v>2277</v>
      </c>
      <c r="BN53" s="532">
        <f t="shared" si="11"/>
        <v>24461</v>
      </c>
      <c r="BO53" s="532">
        <v>33820.583333333336</v>
      </c>
      <c r="BP53" s="532">
        <v>14908</v>
      </c>
      <c r="BQ53" s="532"/>
      <c r="BR53" s="532">
        <v>0</v>
      </c>
      <c r="BS53" s="532">
        <v>0</v>
      </c>
      <c r="BT53" s="532">
        <f t="shared" si="12"/>
        <v>48728.583333333336</v>
      </c>
      <c r="BU53" s="532"/>
      <c r="BV53" s="532"/>
      <c r="BW53" s="532">
        <f t="shared" si="13"/>
        <v>0</v>
      </c>
      <c r="BX53" s="532">
        <v>0</v>
      </c>
      <c r="BY53" s="532">
        <f t="shared" si="14"/>
        <v>285464.86666666664</v>
      </c>
      <c r="BZ53" s="543">
        <f t="shared" si="15"/>
        <v>570929.7333333333</v>
      </c>
      <c r="CA53" s="441">
        <f t="shared" si="16"/>
        <v>149246.53333333333</v>
      </c>
      <c r="CC53" s="316">
        <v>0.2999999999301508</v>
      </c>
      <c r="DW53" s="483"/>
      <c r="DX53" s="442">
        <f>'Table 2'!AS52</f>
      </c>
      <c r="DY53" s="442">
        <f>'Table 2'!AT52</f>
      </c>
      <c r="DZ53" s="442">
        <f>'Table 2'!AU52</f>
      </c>
      <c r="EA53" s="442">
        <f>'Table 2'!AV52</f>
      </c>
      <c r="EB53" s="546"/>
      <c r="EC53" s="442">
        <f>'Table 2'!AX52</f>
      </c>
      <c r="ED53" s="442">
        <f>'Table 2'!AY52</f>
      </c>
      <c r="EE53" s="442">
        <f>'Table 2'!AZ52</f>
      </c>
      <c r="EF53" s="442">
        <f>'Table 2'!BA52</f>
      </c>
      <c r="EG53" s="442">
        <f>'Table 2'!BB52</f>
      </c>
      <c r="EH53" s="442">
        <f>'Table 2'!BC52</f>
      </c>
      <c r="EI53" s="442">
        <f>'Table 2'!BD52</f>
      </c>
      <c r="EJ53" s="442">
        <f>'Table 2'!BE52</f>
      </c>
      <c r="EK53" s="442">
        <f>'Table 2'!BF52</f>
      </c>
      <c r="EL53" s="442">
        <f>'Table 2'!BG52</f>
      </c>
      <c r="EM53" s="442">
        <f>'Table 2'!BH52</f>
      </c>
      <c r="EN53" s="546"/>
      <c r="EO53" s="434">
        <f t="shared" si="17"/>
        <v>0</v>
      </c>
    </row>
    <row r="54" spans="2:145" ht="12.75">
      <c r="B54" s="531">
        <v>14</v>
      </c>
      <c r="C54" s="531" t="s">
        <v>542</v>
      </c>
      <c r="D54" s="531">
        <v>2065</v>
      </c>
      <c r="E54" s="532"/>
      <c r="F54" s="532">
        <v>26.25</v>
      </c>
      <c r="G54" s="532"/>
      <c r="H54" s="532"/>
      <c r="I54" s="532">
        <v>71.66666666666667</v>
      </c>
      <c r="J54" s="532"/>
      <c r="K54" s="532">
        <v>68.16666666666667</v>
      </c>
      <c r="L54" s="532">
        <v>58.25</v>
      </c>
      <c r="M54" s="532"/>
      <c r="N54" s="532">
        <v>51.75</v>
      </c>
      <c r="O54" s="532">
        <v>56.166666666666664</v>
      </c>
      <c r="P54" s="532">
        <v>59.833333333333336</v>
      </c>
      <c r="Q54" s="532">
        <v>70.33333333333333</v>
      </c>
      <c r="R54" s="532"/>
      <c r="S54" s="532"/>
      <c r="T54" s="532"/>
      <c r="U54" s="532"/>
      <c r="V54" s="532"/>
      <c r="W54" s="532"/>
      <c r="X54" s="532"/>
      <c r="Y54" s="532"/>
      <c r="Z54" s="504"/>
      <c r="AA54" s="504"/>
      <c r="AB54" s="532">
        <f t="shared" si="2"/>
        <v>462.4166666666667</v>
      </c>
      <c r="AC54" s="532">
        <f t="shared" si="3"/>
        <v>997607.8466666667</v>
      </c>
      <c r="AD54" s="532">
        <v>67180.95</v>
      </c>
      <c r="AE54" s="532"/>
      <c r="AF54" s="532">
        <v>10620</v>
      </c>
      <c r="AG54" s="532"/>
      <c r="AH54" s="561"/>
      <c r="AI54" s="532"/>
      <c r="AJ54" s="532">
        <f t="shared" si="4"/>
        <v>77800.95</v>
      </c>
      <c r="AK54" s="539"/>
      <c r="AL54" s="540"/>
      <c r="AM54" s="562"/>
      <c r="AN54" s="562"/>
      <c r="AO54" s="542">
        <f t="shared" si="5"/>
        <v>0</v>
      </c>
      <c r="AP54" s="532">
        <v>50410</v>
      </c>
      <c r="AQ54" s="532">
        <v>30596</v>
      </c>
      <c r="AR54" s="532">
        <v>29414</v>
      </c>
      <c r="AS54" s="532"/>
      <c r="AT54" s="532">
        <v>0</v>
      </c>
      <c r="AU54" s="532">
        <f t="shared" si="6"/>
        <v>110420</v>
      </c>
      <c r="AV54" s="532">
        <v>14645</v>
      </c>
      <c r="AW54" s="532">
        <f aca="true" t="shared" si="18" ref="AW54:AW89">+$AW$15</f>
        <v>3265</v>
      </c>
      <c r="AX54" s="532">
        <f t="shared" si="8"/>
        <v>17910</v>
      </c>
      <c r="AY54" s="532">
        <v>21124</v>
      </c>
      <c r="AZ54" s="532">
        <v>22966.75</v>
      </c>
      <c r="BA54" s="532">
        <v>15693.916666666666</v>
      </c>
      <c r="BB54" s="532"/>
      <c r="BC54" s="532">
        <f t="shared" si="9"/>
        <v>59784.666666666664</v>
      </c>
      <c r="BD54" s="532">
        <v>3197</v>
      </c>
      <c r="BE54" s="532">
        <v>0</v>
      </c>
      <c r="BF54" s="532">
        <v>6833</v>
      </c>
      <c r="BG54" s="532">
        <v>34162.166666666664</v>
      </c>
      <c r="BH54" s="532">
        <v>24087.833333333332</v>
      </c>
      <c r="BI54" s="532">
        <f t="shared" si="10"/>
        <v>68280</v>
      </c>
      <c r="BJ54" s="532">
        <v>15770</v>
      </c>
      <c r="BK54" s="532">
        <v>1995</v>
      </c>
      <c r="BL54" s="532">
        <v>61880</v>
      </c>
      <c r="BM54" s="532">
        <v>5548</v>
      </c>
      <c r="BN54" s="532">
        <f t="shared" si="11"/>
        <v>85193</v>
      </c>
      <c r="BO54" s="532">
        <v>81170</v>
      </c>
      <c r="BP54" s="532">
        <v>0</v>
      </c>
      <c r="BQ54" s="532"/>
      <c r="BR54" s="532">
        <v>0</v>
      </c>
      <c r="BS54" s="532">
        <v>0</v>
      </c>
      <c r="BT54" s="532">
        <f t="shared" si="12"/>
        <v>81170</v>
      </c>
      <c r="BU54" s="532"/>
      <c r="BV54" s="532"/>
      <c r="BW54" s="532">
        <f t="shared" si="13"/>
        <v>0</v>
      </c>
      <c r="BX54" s="532">
        <v>0</v>
      </c>
      <c r="BY54" s="532">
        <f t="shared" si="14"/>
        <v>1498166.4633333334</v>
      </c>
      <c r="BZ54" s="543">
        <f t="shared" si="15"/>
        <v>2996332.9266666668</v>
      </c>
      <c r="CA54" s="441">
        <f t="shared" si="16"/>
        <v>997607.8466666667</v>
      </c>
      <c r="CC54" s="316">
        <v>0</v>
      </c>
      <c r="DW54" s="483"/>
      <c r="DX54" s="442">
        <f>'Table 2'!AS53</f>
      </c>
      <c r="DY54" s="442">
        <f>'Table 2'!AT53</f>
      </c>
      <c r="DZ54" s="442">
        <f>'Table 2'!AU53</f>
      </c>
      <c r="EA54" s="442">
        <f>'Table 2'!AV53</f>
      </c>
      <c r="EB54" s="546"/>
      <c r="EC54" s="442">
        <f>'Table 2'!AX53</f>
      </c>
      <c r="ED54" s="442">
        <f>'Table 2'!AY53</f>
      </c>
      <c r="EE54" s="442">
        <f>'Table 2'!AZ53</f>
      </c>
      <c r="EF54" s="442">
        <f>'Table 2'!BA53</f>
      </c>
      <c r="EG54" s="442">
        <f>'Table 2'!BB53</f>
      </c>
      <c r="EH54" s="442">
        <f>'Table 2'!BC53</f>
      </c>
      <c r="EI54" s="442">
        <f>'Table 2'!BD53</f>
      </c>
      <c r="EJ54" s="442">
        <f>'Table 2'!BE53</f>
      </c>
      <c r="EK54" s="442">
        <f>'Table 2'!BF53</f>
      </c>
      <c r="EL54" s="442">
        <f>'Table 2'!BG53</f>
      </c>
      <c r="EM54" s="442">
        <f>'Table 2'!BH53</f>
      </c>
      <c r="EN54" s="546"/>
      <c r="EO54" s="434">
        <f t="shared" si="17"/>
        <v>0</v>
      </c>
    </row>
    <row r="55" spans="2:145" ht="12.75">
      <c r="B55" s="531">
        <v>64</v>
      </c>
      <c r="C55" s="531" t="s">
        <v>543</v>
      </c>
      <c r="D55" s="531">
        <v>2066</v>
      </c>
      <c r="E55" s="532"/>
      <c r="F55" s="532">
        <v>20</v>
      </c>
      <c r="G55" s="532"/>
      <c r="H55" s="532"/>
      <c r="I55" s="532">
        <v>45</v>
      </c>
      <c r="J55" s="532"/>
      <c r="K55" s="532">
        <v>42</v>
      </c>
      <c r="L55" s="532">
        <v>20</v>
      </c>
      <c r="M55" s="532"/>
      <c r="N55" s="532">
        <v>19</v>
      </c>
      <c r="O55" s="532">
        <v>26</v>
      </c>
      <c r="P55" s="532">
        <v>45</v>
      </c>
      <c r="Q55" s="532">
        <v>27</v>
      </c>
      <c r="R55" s="532"/>
      <c r="S55" s="532"/>
      <c r="T55" s="532"/>
      <c r="U55" s="532"/>
      <c r="V55" s="532"/>
      <c r="W55" s="532"/>
      <c r="X55" s="532"/>
      <c r="Y55" s="532"/>
      <c r="Z55" s="504"/>
      <c r="AA55" s="504"/>
      <c r="AB55" s="532">
        <f t="shared" si="2"/>
        <v>244</v>
      </c>
      <c r="AC55" s="532">
        <f t="shared" si="3"/>
        <v>517956.29000000004</v>
      </c>
      <c r="AD55" s="532">
        <v>54834</v>
      </c>
      <c r="AE55" s="532"/>
      <c r="AF55" s="532">
        <v>40120</v>
      </c>
      <c r="AG55" s="532"/>
      <c r="AH55" s="561"/>
      <c r="AI55" s="532"/>
      <c r="AJ55" s="532">
        <f t="shared" si="4"/>
        <v>94954</v>
      </c>
      <c r="AK55" s="539"/>
      <c r="AL55" s="540"/>
      <c r="AM55" s="562"/>
      <c r="AN55" s="562"/>
      <c r="AO55" s="542">
        <f t="shared" si="5"/>
        <v>0</v>
      </c>
      <c r="AP55" s="532">
        <v>2176</v>
      </c>
      <c r="AQ55" s="532">
        <v>23603</v>
      </c>
      <c r="AR55" s="532">
        <v>22691</v>
      </c>
      <c r="AS55" s="532"/>
      <c r="AT55" s="532">
        <v>0</v>
      </c>
      <c r="AU55" s="532">
        <f t="shared" si="6"/>
        <v>48470</v>
      </c>
      <c r="AV55" s="532">
        <v>0</v>
      </c>
      <c r="AW55" s="532">
        <f t="shared" si="18"/>
        <v>3265</v>
      </c>
      <c r="AX55" s="532">
        <f t="shared" si="8"/>
        <v>3265</v>
      </c>
      <c r="AY55" s="532">
        <v>16296</v>
      </c>
      <c r="AZ55" s="532">
        <v>8299</v>
      </c>
      <c r="BA55" s="532">
        <v>8461</v>
      </c>
      <c r="BB55" s="532"/>
      <c r="BC55" s="532">
        <f t="shared" si="9"/>
        <v>33056</v>
      </c>
      <c r="BD55" s="532">
        <v>1048</v>
      </c>
      <c r="BE55" s="532">
        <v>0</v>
      </c>
      <c r="BF55" s="532">
        <v>6833</v>
      </c>
      <c r="BG55" s="532">
        <v>12344</v>
      </c>
      <c r="BH55" s="532">
        <v>12987</v>
      </c>
      <c r="BI55" s="532">
        <f t="shared" si="10"/>
        <v>33212</v>
      </c>
      <c r="BJ55" s="532">
        <v>13222</v>
      </c>
      <c r="BK55" s="532">
        <v>1652</v>
      </c>
      <c r="BL55" s="532">
        <v>47436</v>
      </c>
      <c r="BM55" s="532">
        <v>5484</v>
      </c>
      <c r="BN55" s="532">
        <f t="shared" si="11"/>
        <v>67794</v>
      </c>
      <c r="BO55" s="532">
        <v>81170</v>
      </c>
      <c r="BP55" s="532">
        <v>12250</v>
      </c>
      <c r="BQ55" s="532"/>
      <c r="BR55" s="532">
        <v>0</v>
      </c>
      <c r="BS55" s="532">
        <v>0</v>
      </c>
      <c r="BT55" s="532">
        <f t="shared" si="12"/>
        <v>93420</v>
      </c>
      <c r="BU55" s="532"/>
      <c r="BV55" s="532"/>
      <c r="BW55" s="532">
        <f t="shared" si="13"/>
        <v>0</v>
      </c>
      <c r="BX55" s="532">
        <v>0</v>
      </c>
      <c r="BY55" s="532">
        <f t="shared" si="14"/>
        <v>892127.29</v>
      </c>
      <c r="BZ55" s="543">
        <f t="shared" si="15"/>
        <v>1784254.58</v>
      </c>
      <c r="CA55" s="441">
        <f t="shared" si="16"/>
        <v>517956.29000000004</v>
      </c>
      <c r="CC55" s="316">
        <v>0</v>
      </c>
      <c r="DW55" s="483"/>
      <c r="DX55" s="442">
        <f>'Table 2'!AS54</f>
      </c>
      <c r="DY55" s="442">
        <f>'Table 2'!AT54</f>
      </c>
      <c r="DZ55" s="442">
        <f>'Table 2'!AU54</f>
      </c>
      <c r="EA55" s="442">
        <f>'Table 2'!AV54</f>
      </c>
      <c r="EB55" s="546"/>
      <c r="EC55" s="442">
        <f>'Table 2'!AX54</f>
      </c>
      <c r="ED55" s="442">
        <f>'Table 2'!AY54</f>
      </c>
      <c r="EE55" s="442">
        <f>'Table 2'!AZ54</f>
      </c>
      <c r="EF55" s="442">
        <f>'Table 2'!BA54</f>
      </c>
      <c r="EG55" s="442">
        <f>'Table 2'!BB54</f>
      </c>
      <c r="EH55" s="442">
        <f>'Table 2'!BC54</f>
      </c>
      <c r="EI55" s="442">
        <f>'Table 2'!BD54</f>
      </c>
      <c r="EJ55" s="442">
        <f>'Table 2'!BE54</f>
      </c>
      <c r="EK55" s="442">
        <f>'Table 2'!BF54</f>
      </c>
      <c r="EL55" s="442">
        <f>'Table 2'!BG54</f>
      </c>
      <c r="EM55" s="442">
        <f>'Table 2'!BH54</f>
      </c>
      <c r="EN55" s="546"/>
      <c r="EO55" s="434">
        <f t="shared" si="17"/>
        <v>0</v>
      </c>
    </row>
    <row r="56" spans="2:145" ht="12.75">
      <c r="B56" s="531">
        <v>35</v>
      </c>
      <c r="C56" s="531" t="s">
        <v>544</v>
      </c>
      <c r="D56" s="531">
        <v>2081</v>
      </c>
      <c r="E56" s="532"/>
      <c r="F56" s="532">
        <v>40</v>
      </c>
      <c r="G56" s="532"/>
      <c r="H56" s="532"/>
      <c r="I56" s="532">
        <v>90</v>
      </c>
      <c r="J56" s="532"/>
      <c r="K56" s="532">
        <v>89</v>
      </c>
      <c r="L56" s="532">
        <v>90</v>
      </c>
      <c r="M56" s="532"/>
      <c r="N56" s="532">
        <v>0</v>
      </c>
      <c r="O56" s="532">
        <v>0</v>
      </c>
      <c r="P56" s="532">
        <v>0</v>
      </c>
      <c r="Q56" s="532">
        <v>0</v>
      </c>
      <c r="R56" s="532"/>
      <c r="S56" s="532"/>
      <c r="T56" s="532"/>
      <c r="U56" s="532"/>
      <c r="V56" s="532"/>
      <c r="W56" s="532"/>
      <c r="X56" s="532"/>
      <c r="Y56" s="532"/>
      <c r="Z56" s="504"/>
      <c r="AA56" s="504"/>
      <c r="AB56" s="532">
        <f t="shared" si="2"/>
        <v>309</v>
      </c>
      <c r="AC56" s="532">
        <f t="shared" si="3"/>
        <v>651662.47</v>
      </c>
      <c r="AD56" s="532">
        <v>109666</v>
      </c>
      <c r="AE56" s="532"/>
      <c r="AF56" s="532">
        <v>0</v>
      </c>
      <c r="AG56" s="532"/>
      <c r="AH56" s="561"/>
      <c r="AI56" s="532"/>
      <c r="AJ56" s="532">
        <f t="shared" si="4"/>
        <v>109666</v>
      </c>
      <c r="AK56" s="539"/>
      <c r="AL56" s="540"/>
      <c r="AM56" s="562"/>
      <c r="AN56" s="562"/>
      <c r="AO56" s="542">
        <f t="shared" si="5"/>
        <v>0</v>
      </c>
      <c r="AP56" s="532">
        <v>4352</v>
      </c>
      <c r="AQ56" s="532">
        <v>15139</v>
      </c>
      <c r="AR56" s="532">
        <v>14554</v>
      </c>
      <c r="AS56" s="532"/>
      <c r="AT56" s="532">
        <v>0</v>
      </c>
      <c r="AU56" s="532">
        <f t="shared" si="6"/>
        <v>34045</v>
      </c>
      <c r="AV56" s="532">
        <v>0</v>
      </c>
      <c r="AW56" s="532">
        <f t="shared" si="18"/>
        <v>3265</v>
      </c>
      <c r="AX56" s="532">
        <f t="shared" si="8"/>
        <v>3265</v>
      </c>
      <c r="AY56" s="532">
        <v>10452</v>
      </c>
      <c r="AZ56" s="532">
        <v>3480</v>
      </c>
      <c r="BA56" s="532">
        <v>5906</v>
      </c>
      <c r="BB56" s="532"/>
      <c r="BC56" s="532">
        <f t="shared" si="9"/>
        <v>19838</v>
      </c>
      <c r="BD56" s="532">
        <v>586</v>
      </c>
      <c r="BE56" s="532">
        <v>0</v>
      </c>
      <c r="BF56" s="532">
        <v>0</v>
      </c>
      <c r="BG56" s="532">
        <v>5177</v>
      </c>
      <c r="BH56" s="532">
        <v>9064</v>
      </c>
      <c r="BI56" s="532">
        <f t="shared" si="10"/>
        <v>14827</v>
      </c>
      <c r="BJ56" s="532">
        <v>12616</v>
      </c>
      <c r="BK56" s="532">
        <v>848</v>
      </c>
      <c r="BL56" s="532">
        <v>43358</v>
      </c>
      <c r="BM56" s="532">
        <v>6551</v>
      </c>
      <c r="BN56" s="532">
        <f t="shared" si="11"/>
        <v>63373</v>
      </c>
      <c r="BO56" s="532">
        <v>81170</v>
      </c>
      <c r="BP56" s="532">
        <v>0</v>
      </c>
      <c r="BQ56" s="532"/>
      <c r="BR56" s="532">
        <v>7211</v>
      </c>
      <c r="BS56" s="532">
        <v>0</v>
      </c>
      <c r="BT56" s="532">
        <f t="shared" si="12"/>
        <v>88381</v>
      </c>
      <c r="BU56" s="532"/>
      <c r="BV56" s="532"/>
      <c r="BW56" s="532">
        <f t="shared" si="13"/>
        <v>0</v>
      </c>
      <c r="BX56" s="532">
        <v>0</v>
      </c>
      <c r="BY56" s="532">
        <f t="shared" si="14"/>
        <v>985057.47</v>
      </c>
      <c r="BZ56" s="543">
        <f t="shared" si="15"/>
        <v>1970114.94</v>
      </c>
      <c r="CA56" s="441">
        <f t="shared" si="16"/>
        <v>651662.47</v>
      </c>
      <c r="CC56" s="316">
        <v>-0.02000000001862645</v>
      </c>
      <c r="DW56" s="483"/>
      <c r="DX56" s="442">
        <f>'Table 2'!AS55</f>
      </c>
      <c r="DY56" s="442">
        <f>'Table 2'!AT55</f>
      </c>
      <c r="DZ56" s="442">
        <f>'Table 2'!AU55</f>
      </c>
      <c r="EA56" s="442">
        <f>'Table 2'!AV55</f>
      </c>
      <c r="EB56" s="546"/>
      <c r="EC56" s="442">
        <f>'Table 2'!AX55</f>
      </c>
      <c r="ED56" s="442">
        <f>'Table 2'!AY55</f>
      </c>
      <c r="EE56" s="442">
        <f>'Table 2'!AZ55</f>
      </c>
      <c r="EF56" s="442">
        <f>'Table 2'!BA55</f>
      </c>
      <c r="EG56" s="442">
        <f>'Table 2'!BB55</f>
      </c>
      <c r="EH56" s="442">
        <f>'Table 2'!BC55</f>
      </c>
      <c r="EI56" s="442">
        <f>'Table 2'!BD55</f>
      </c>
      <c r="EJ56" s="442">
        <f>'Table 2'!BE55</f>
      </c>
      <c r="EK56" s="442">
        <f>'Table 2'!BF55</f>
      </c>
      <c r="EL56" s="442">
        <f>'Table 2'!BG55</f>
      </c>
      <c r="EM56" s="442">
        <f>'Table 2'!BH55</f>
      </c>
      <c r="EN56" s="546"/>
      <c r="EO56" s="434">
        <f t="shared" si="17"/>
        <v>0</v>
      </c>
    </row>
    <row r="57" spans="2:145" ht="12.75">
      <c r="B57" s="531">
        <v>13</v>
      </c>
      <c r="C57" s="531" t="s">
        <v>545</v>
      </c>
      <c r="D57" s="531">
        <v>2082</v>
      </c>
      <c r="E57" s="532"/>
      <c r="F57" s="532">
        <v>10</v>
      </c>
      <c r="G57" s="532"/>
      <c r="H57" s="532"/>
      <c r="I57" s="532">
        <v>27</v>
      </c>
      <c r="J57" s="532"/>
      <c r="K57" s="532">
        <v>23</v>
      </c>
      <c r="L57" s="532">
        <v>25</v>
      </c>
      <c r="M57" s="532"/>
      <c r="N57" s="532">
        <v>19</v>
      </c>
      <c r="O57" s="532">
        <v>26</v>
      </c>
      <c r="P57" s="532">
        <v>25</v>
      </c>
      <c r="Q57" s="532">
        <v>32</v>
      </c>
      <c r="R57" s="532"/>
      <c r="S57" s="532"/>
      <c r="T57" s="532"/>
      <c r="U57" s="532"/>
      <c r="V57" s="532"/>
      <c r="W57" s="532"/>
      <c r="X57" s="532"/>
      <c r="Y57" s="532"/>
      <c r="Z57" s="504"/>
      <c r="AA57" s="504"/>
      <c r="AB57" s="532">
        <f t="shared" si="2"/>
        <v>187</v>
      </c>
      <c r="AC57" s="532">
        <f t="shared" si="3"/>
        <v>403054.72</v>
      </c>
      <c r="AD57" s="532">
        <v>27416</v>
      </c>
      <c r="AE57" s="532"/>
      <c r="AF57" s="532">
        <v>10620</v>
      </c>
      <c r="AG57" s="532"/>
      <c r="AH57" s="561"/>
      <c r="AI57" s="532"/>
      <c r="AJ57" s="532">
        <f t="shared" si="4"/>
        <v>38036</v>
      </c>
      <c r="AK57" s="539"/>
      <c r="AL57" s="540"/>
      <c r="AM57" s="562"/>
      <c r="AN57" s="562"/>
      <c r="AO57" s="542">
        <f t="shared" si="5"/>
        <v>0</v>
      </c>
      <c r="AP57" s="532">
        <v>15232</v>
      </c>
      <c r="AQ57" s="532">
        <v>7897</v>
      </c>
      <c r="AR57" s="532">
        <v>7593</v>
      </c>
      <c r="AS57" s="532"/>
      <c r="AT57" s="532">
        <v>0</v>
      </c>
      <c r="AU57" s="532">
        <f t="shared" si="6"/>
        <v>30722</v>
      </c>
      <c r="AV57" s="532">
        <v>4070</v>
      </c>
      <c r="AW57" s="532">
        <f t="shared" si="18"/>
        <v>3265</v>
      </c>
      <c r="AX57" s="532">
        <f t="shared" si="8"/>
        <v>7335</v>
      </c>
      <c r="AY57" s="532">
        <v>5453</v>
      </c>
      <c r="AZ57" s="532">
        <v>1339</v>
      </c>
      <c r="BA57" s="532">
        <v>1214</v>
      </c>
      <c r="BB57" s="532"/>
      <c r="BC57" s="532">
        <f t="shared" si="9"/>
        <v>8006</v>
      </c>
      <c r="BD57" s="532">
        <v>219</v>
      </c>
      <c r="BE57" s="532">
        <v>0</v>
      </c>
      <c r="BF57" s="532">
        <v>0</v>
      </c>
      <c r="BG57" s="532">
        <v>1991</v>
      </c>
      <c r="BH57" s="532">
        <v>1864</v>
      </c>
      <c r="BI57" s="532">
        <f t="shared" si="10"/>
        <v>4074</v>
      </c>
      <c r="BJ57" s="532">
        <v>9714</v>
      </c>
      <c r="BK57" s="532">
        <v>1065</v>
      </c>
      <c r="BL57" s="532">
        <v>34523</v>
      </c>
      <c r="BM57" s="532">
        <v>3810</v>
      </c>
      <c r="BN57" s="532">
        <f t="shared" si="11"/>
        <v>49112</v>
      </c>
      <c r="BO57" s="532">
        <v>81170</v>
      </c>
      <c r="BP57" s="532">
        <v>31327</v>
      </c>
      <c r="BQ57" s="532"/>
      <c r="BR57" s="532">
        <v>5741</v>
      </c>
      <c r="BS57" s="532">
        <v>0</v>
      </c>
      <c r="BT57" s="532">
        <f t="shared" si="12"/>
        <v>118238</v>
      </c>
      <c r="BU57" s="532"/>
      <c r="BV57" s="532"/>
      <c r="BW57" s="532">
        <f t="shared" si="13"/>
        <v>0</v>
      </c>
      <c r="BX57" s="532">
        <v>0</v>
      </c>
      <c r="BY57" s="532">
        <f t="shared" si="14"/>
        <v>658577.72</v>
      </c>
      <c r="BZ57" s="543">
        <f t="shared" si="15"/>
        <v>1317155.44</v>
      </c>
      <c r="CA57" s="441">
        <f t="shared" si="16"/>
        <v>403054.72</v>
      </c>
      <c r="CC57" s="316">
        <v>-0.35999999986961484</v>
      </c>
      <c r="DW57" s="483"/>
      <c r="DX57" s="442">
        <f>'Table 2'!AS56</f>
      </c>
      <c r="DY57" s="442">
        <f>'Table 2'!AT56</f>
      </c>
      <c r="DZ57" s="442">
        <f>'Table 2'!AU56</f>
      </c>
      <c r="EA57" s="442">
        <f>'Table 2'!AV56</f>
      </c>
      <c r="EB57" s="546"/>
      <c r="EC57" s="442">
        <f>'Table 2'!AX56</f>
      </c>
      <c r="ED57" s="442">
        <f>'Table 2'!AY56</f>
      </c>
      <c r="EE57" s="442">
        <f>'Table 2'!AZ56</f>
      </c>
      <c r="EF57" s="442">
        <f>'Table 2'!BA56</f>
      </c>
      <c r="EG57" s="442">
        <f>'Table 2'!BB56</f>
      </c>
      <c r="EH57" s="442">
        <f>'Table 2'!BC56</f>
      </c>
      <c r="EI57" s="442">
        <f>'Table 2'!BD56</f>
      </c>
      <c r="EJ57" s="442">
        <f>'Table 2'!BE56</f>
      </c>
      <c r="EK57" s="442">
        <f>'Table 2'!BF56</f>
      </c>
      <c r="EL57" s="442">
        <f>'Table 2'!BG56</f>
      </c>
      <c r="EM57" s="442">
        <f>'Table 2'!BH56</f>
      </c>
      <c r="EN57" s="546"/>
      <c r="EO57" s="434">
        <f t="shared" si="17"/>
        <v>0</v>
      </c>
    </row>
    <row r="58" spans="2:145" ht="12.75">
      <c r="B58" s="531">
        <v>43</v>
      </c>
      <c r="C58" s="531" t="s">
        <v>546</v>
      </c>
      <c r="D58" s="531">
        <v>2085</v>
      </c>
      <c r="E58" s="532"/>
      <c r="F58" s="532">
        <v>30</v>
      </c>
      <c r="G58" s="532"/>
      <c r="H58" s="532"/>
      <c r="I58" s="532">
        <v>60</v>
      </c>
      <c r="J58" s="532"/>
      <c r="K58" s="532">
        <v>55</v>
      </c>
      <c r="L58" s="532">
        <v>60</v>
      </c>
      <c r="M58" s="532"/>
      <c r="N58" s="532">
        <v>45</v>
      </c>
      <c r="O58" s="532">
        <v>57</v>
      </c>
      <c r="P58" s="532">
        <v>57</v>
      </c>
      <c r="Q58" s="532">
        <v>60</v>
      </c>
      <c r="R58" s="532"/>
      <c r="S58" s="532"/>
      <c r="T58" s="532"/>
      <c r="U58" s="532"/>
      <c r="V58" s="532"/>
      <c r="W58" s="532"/>
      <c r="X58" s="532"/>
      <c r="Y58" s="532"/>
      <c r="Z58" s="504"/>
      <c r="AA58" s="504"/>
      <c r="AB58" s="532">
        <f aca="true" t="shared" si="19" ref="AB58:AB92">SUM(E58:Y58)</f>
        <v>424</v>
      </c>
      <c r="AC58" s="532">
        <f aca="true" t="shared" si="20" ref="AC58:AC92">IF(ISERROR($E$15*E58),0,$E$15*E58)+IF(ISERROR($F$15*F58),0,$F$15*F58)+IF(ISERROR($G$15*G58),0,$G$15*G58)+IF(ISERROR($H$15*H58),0,$H$15*H58)+IF(ISERROR($I$15*I58),0,$I$15*I58)+IF(ISERROR($J$15*J58),0,$J$15*J58)+IF(ISERROR($K$15*K58),0,$K$15*K58)+IF(ISERROR($L$15*L58),0,$L$15*L58)+IF(ISERROR($M$15*M58),0,$M$15*M58)+IF(ISERROR($N$15*N58),0,$N$15*N58)+IF(ISERROR($O$15*O58),0,$O$15*O58)+IF(ISERROR($P$15*P58),0,$P$15*P58)+IF(ISERROR($Q$15*Q58),0,$Q$15*Q58)+IF(ISERROR($R$15*R58),0,$R$15*R58)+IF(ISERROR($S$15*S58),0,$S$15*S58)+IF(ISERROR($T$15*T58),0,$T$15*T58)+IF(ISERROR($U$15*U58),0,$U$15*U58)+IF(ISERROR($V$15*V58),0,$V$15*V58)+IF(ISERROR($W$15*W58),0,$W$15*W58)+IF(ISERROR($X$15*X58),0,$X$15*X58)+IF(ISERROR($Y$15*Y58),0,$Y$15*Y58)</f>
        <v>899125.5800000001</v>
      </c>
      <c r="AD58" s="532">
        <v>64551</v>
      </c>
      <c r="AE58" s="532"/>
      <c r="AF58" s="532">
        <v>0</v>
      </c>
      <c r="AG58" s="532"/>
      <c r="AH58" s="561"/>
      <c r="AI58" s="532"/>
      <c r="AJ58" s="532">
        <f aca="true" t="shared" si="21" ref="AJ58:AJ89">SUM(AD58:AI58)</f>
        <v>64551</v>
      </c>
      <c r="AK58" s="539"/>
      <c r="AL58" s="540"/>
      <c r="AM58" s="562"/>
      <c r="AN58" s="562"/>
      <c r="AO58" s="542">
        <f aca="true" t="shared" si="22" ref="AO58:AO89">SUM(AM58:AN58)</f>
        <v>0</v>
      </c>
      <c r="AP58" s="532">
        <v>10880</v>
      </c>
      <c r="AQ58" s="532">
        <v>18492</v>
      </c>
      <c r="AR58" s="532">
        <v>17777</v>
      </c>
      <c r="AS58" s="532"/>
      <c r="AT58" s="532">
        <v>0</v>
      </c>
      <c r="AU58" s="532">
        <f aca="true" t="shared" si="23" ref="AU58:AU89">SUM(AP58:AT58)</f>
        <v>47149</v>
      </c>
      <c r="AV58" s="532">
        <v>0</v>
      </c>
      <c r="AW58" s="532">
        <f t="shared" si="18"/>
        <v>3265</v>
      </c>
      <c r="AX58" s="532">
        <f aca="true" t="shared" si="24" ref="AX58:AX89">SUM(AV58:AW58)</f>
        <v>3265</v>
      </c>
      <c r="AY58" s="532">
        <v>12766</v>
      </c>
      <c r="AZ58" s="532">
        <v>6559</v>
      </c>
      <c r="BA58" s="532">
        <v>8353</v>
      </c>
      <c r="BB58" s="532"/>
      <c r="BC58" s="532">
        <f aca="true" t="shared" si="25" ref="BC58:BC89">SUM(AY58:BB58)</f>
        <v>27678</v>
      </c>
      <c r="BD58" s="532">
        <v>976</v>
      </c>
      <c r="BE58" s="532">
        <v>0</v>
      </c>
      <c r="BF58" s="532">
        <v>0</v>
      </c>
      <c r="BG58" s="532">
        <v>9756</v>
      </c>
      <c r="BH58" s="532">
        <v>12820</v>
      </c>
      <c r="BI58" s="532">
        <f aca="true" t="shared" si="26" ref="BI58:BI89">SUM(BD58:BH58)</f>
        <v>23552</v>
      </c>
      <c r="BJ58" s="532">
        <v>21195</v>
      </c>
      <c r="BK58" s="532">
        <v>2031</v>
      </c>
      <c r="BL58" s="532">
        <v>57150</v>
      </c>
      <c r="BM58" s="532">
        <v>6310</v>
      </c>
      <c r="BN58" s="532">
        <f aca="true" t="shared" si="27" ref="BN58:BN89">SUM(BJ58:BM58)</f>
        <v>86686</v>
      </c>
      <c r="BO58" s="532">
        <v>81170</v>
      </c>
      <c r="BP58" s="532">
        <v>0</v>
      </c>
      <c r="BQ58" s="532"/>
      <c r="BR58" s="532">
        <v>9505</v>
      </c>
      <c r="BS58" s="532">
        <v>0</v>
      </c>
      <c r="BT58" s="532">
        <f aca="true" t="shared" si="28" ref="BT58:BT89">SUM(BO58:BS58)</f>
        <v>90675</v>
      </c>
      <c r="BU58" s="532"/>
      <c r="BV58" s="532"/>
      <c r="BW58" s="532">
        <f aca="true" t="shared" si="29" ref="BW58:BW89">SUM(BU58:BV58)</f>
        <v>0</v>
      </c>
      <c r="BX58" s="532">
        <v>0</v>
      </c>
      <c r="BY58" s="532">
        <f aca="true" t="shared" si="30" ref="BY58:BY89">IF(ISERROR(SUM(AC58,AJ58,AO58,AU58,AX58,BC58,BI58,BN58,BT58,BW58,BX58)),0,SUM(AC58,AJ58,AO58,AU58,AX58,BC58,BI58,BN58,BT58,BW58,BX58))</f>
        <v>1242681.58</v>
      </c>
      <c r="BZ58" s="543">
        <f aca="true" t="shared" si="31" ref="BZ58:BZ92">SUM(AC58:BX58)+AC58+BX58</f>
        <v>2485363.16</v>
      </c>
      <c r="CA58" s="441">
        <f aca="true" t="shared" si="32" ref="CA58:CA92">IF(ISERROR($E$15*E58),0,$E$15*E58)+IF(ISERROR($F$15*F58),0,$F$15*F58)+IF(ISERROR($G$15*G58),0,$G$15*G58)+IF(ISERROR($H$15*H58),0,$H$15*H58)+IF(ISERROR($I$15*I58),0,$I$15*I58)+IF(ISERROR($J$15*J58),0,$J$15*J58)+IF(ISERROR($K$15*K58),0,$K$15*K58)+IF(ISERROR($L$15*L58),0,$L$15*L58)+IF(ISERROR($M$15*M58),0,$M$15*M58)+IF(ISERROR($N$15*N58),0,$N$15*N58)+IF(ISERROR($O$15*O58),0,$O$15*O58)+IF(ISERROR($P$15*P58),0,$P$15*P58)+IF(ISERROR($Q$15*Q58),0,$Q$15*Q58)+IF(ISERROR($R$15*R58),0,$R$15*R58)+IF(ISERROR($S$15*S58),0,$S$15*S58)+IF(ISERROR($T$15*T58),0,$T$15*T58)+IF(ISERROR($U$15*U58),0,$U$15*U58)+IF(ISERROR($V$15*V58),0,$V$15*V58)+IF(ISERROR($W$15*W58),0,$W$15*W58)+IF(ISERROR($X$15*Z58),0,$X$15*X58)+IF(ISERROR($Y$15*Y58),0,$Y$15*Y58)</f>
        <v>899125.5800000001</v>
      </c>
      <c r="CC58" s="316">
        <v>0.3300000000745058</v>
      </c>
      <c r="DW58" s="483"/>
      <c r="DX58" s="442">
        <f>'Table 2'!AS57</f>
      </c>
      <c r="DY58" s="442">
        <f>'Table 2'!AT57</f>
      </c>
      <c r="DZ58" s="442">
        <f>'Table 2'!AU57</f>
      </c>
      <c r="EA58" s="442">
        <f>'Table 2'!AV57</f>
      </c>
      <c r="EB58" s="546"/>
      <c r="EC58" s="442">
        <f>'Table 2'!AX57</f>
      </c>
      <c r="ED58" s="442">
        <f>'Table 2'!AY57</f>
      </c>
      <c r="EE58" s="442">
        <f>'Table 2'!AZ57</f>
      </c>
      <c r="EF58" s="442">
        <f>'Table 2'!BA57</f>
      </c>
      <c r="EG58" s="442">
        <f>'Table 2'!BB57</f>
      </c>
      <c r="EH58" s="442">
        <f>'Table 2'!BC57</f>
      </c>
      <c r="EI58" s="442">
        <f>'Table 2'!BD57</f>
      </c>
      <c r="EJ58" s="442">
        <f>'Table 2'!BE57</f>
      </c>
      <c r="EK58" s="442">
        <f>'Table 2'!BF57</f>
      </c>
      <c r="EL58" s="442">
        <f>'Table 2'!BG57</f>
      </c>
      <c r="EM58" s="442">
        <f>'Table 2'!BH57</f>
      </c>
      <c r="EN58" s="546"/>
      <c r="EO58" s="434">
        <f aca="true" t="shared" si="33" ref="EO58:EO89">IF(LEN(TRIM(DW58&amp;DX58&amp;DY58&amp;DZ58&amp;EA58&amp;EB58&amp;EC58&amp;ED58&amp;EE58&amp;EF58&amp;EG58&amp;EH58&amp;EI58&amp;EJ58&amp;EK58&amp;EL58&amp;EM58&amp;EN58))&gt;0,1,0)</f>
        <v>0</v>
      </c>
    </row>
    <row r="59" spans="2:145" ht="12.75">
      <c r="B59" s="531">
        <v>12</v>
      </c>
      <c r="C59" s="531" t="s">
        <v>547</v>
      </c>
      <c r="D59" s="531">
        <v>2087</v>
      </c>
      <c r="E59" s="532"/>
      <c r="F59" s="532">
        <v>0</v>
      </c>
      <c r="G59" s="532"/>
      <c r="H59" s="532"/>
      <c r="I59" s="532">
        <v>0</v>
      </c>
      <c r="J59" s="532"/>
      <c r="K59" s="532">
        <v>0</v>
      </c>
      <c r="L59" s="532">
        <v>0</v>
      </c>
      <c r="M59" s="532"/>
      <c r="N59" s="532">
        <v>73</v>
      </c>
      <c r="O59" s="532">
        <v>67</v>
      </c>
      <c r="P59" s="532">
        <v>60</v>
      </c>
      <c r="Q59" s="532">
        <v>66</v>
      </c>
      <c r="R59" s="532"/>
      <c r="S59" s="532"/>
      <c r="T59" s="532"/>
      <c r="U59" s="532"/>
      <c r="V59" s="532"/>
      <c r="W59" s="532"/>
      <c r="X59" s="532"/>
      <c r="Y59" s="532"/>
      <c r="Z59" s="504"/>
      <c r="AA59" s="504"/>
      <c r="AB59" s="532">
        <f t="shared" si="19"/>
        <v>266</v>
      </c>
      <c r="AC59" s="532">
        <f t="shared" si="20"/>
        <v>576737.1000000001</v>
      </c>
      <c r="AD59" s="532">
        <v>0</v>
      </c>
      <c r="AE59" s="532"/>
      <c r="AF59" s="532">
        <v>0</v>
      </c>
      <c r="AG59" s="532"/>
      <c r="AH59" s="561"/>
      <c r="AI59" s="532"/>
      <c r="AJ59" s="532">
        <f t="shared" si="21"/>
        <v>0</v>
      </c>
      <c r="AK59" s="539"/>
      <c r="AL59" s="540"/>
      <c r="AM59" s="562"/>
      <c r="AN59" s="562"/>
      <c r="AO59" s="542">
        <f t="shared" si="22"/>
        <v>0</v>
      </c>
      <c r="AP59" s="532">
        <v>13056</v>
      </c>
      <c r="AQ59" s="532">
        <v>8741</v>
      </c>
      <c r="AR59" s="532">
        <v>8403</v>
      </c>
      <c r="AS59" s="532"/>
      <c r="AT59" s="532">
        <v>0</v>
      </c>
      <c r="AU59" s="532">
        <f t="shared" si="23"/>
        <v>30200</v>
      </c>
      <c r="AV59" s="532">
        <v>1050</v>
      </c>
      <c r="AW59" s="532">
        <f t="shared" si="18"/>
        <v>3265</v>
      </c>
      <c r="AX59" s="532">
        <f t="shared" si="24"/>
        <v>4315</v>
      </c>
      <c r="AY59" s="532">
        <v>6034</v>
      </c>
      <c r="AZ59" s="532">
        <v>3079</v>
      </c>
      <c r="BA59" s="532">
        <v>4155</v>
      </c>
      <c r="BB59" s="532"/>
      <c r="BC59" s="532">
        <f t="shared" si="25"/>
        <v>13268</v>
      </c>
      <c r="BD59" s="532">
        <v>464</v>
      </c>
      <c r="BE59" s="532">
        <v>0</v>
      </c>
      <c r="BF59" s="532">
        <v>0</v>
      </c>
      <c r="BG59" s="532">
        <v>4579</v>
      </c>
      <c r="BH59" s="532">
        <v>6377</v>
      </c>
      <c r="BI59" s="532">
        <f t="shared" si="26"/>
        <v>11420</v>
      </c>
      <c r="BJ59" s="532">
        <v>10723</v>
      </c>
      <c r="BK59" s="532">
        <v>1371</v>
      </c>
      <c r="BL59" s="532">
        <v>32427</v>
      </c>
      <c r="BM59" s="532">
        <v>5845</v>
      </c>
      <c r="BN59" s="532">
        <f t="shared" si="27"/>
        <v>50366</v>
      </c>
      <c r="BO59" s="532">
        <v>80468</v>
      </c>
      <c r="BP59" s="532">
        <v>0</v>
      </c>
      <c r="BQ59" s="532"/>
      <c r="BR59" s="532">
        <v>5393</v>
      </c>
      <c r="BS59" s="532">
        <v>0</v>
      </c>
      <c r="BT59" s="532">
        <f t="shared" si="28"/>
        <v>85861</v>
      </c>
      <c r="BU59" s="532"/>
      <c r="BV59" s="532"/>
      <c r="BW59" s="532">
        <f t="shared" si="29"/>
        <v>0</v>
      </c>
      <c r="BX59" s="532">
        <v>0</v>
      </c>
      <c r="BY59" s="532">
        <f t="shared" si="30"/>
        <v>772167.1000000001</v>
      </c>
      <c r="BZ59" s="543">
        <f t="shared" si="31"/>
        <v>1544334.2000000002</v>
      </c>
      <c r="CA59" s="441">
        <f t="shared" si="32"/>
        <v>576737.1000000001</v>
      </c>
      <c r="CC59" s="316">
        <v>0.13999999989755452</v>
      </c>
      <c r="DW59" s="483"/>
      <c r="DX59" s="442">
        <f>'Table 2'!AS58</f>
      </c>
      <c r="DY59" s="442">
        <f>'Table 2'!AT58</f>
      </c>
      <c r="DZ59" s="442">
        <f>'Table 2'!AU58</f>
      </c>
      <c r="EA59" s="442">
        <f>'Table 2'!AV58</f>
      </c>
      <c r="EB59" s="546"/>
      <c r="EC59" s="442">
        <f>'Table 2'!AX58</f>
      </c>
      <c r="ED59" s="442">
        <f>'Table 2'!AY58</f>
      </c>
      <c r="EE59" s="442">
        <f>'Table 2'!AZ58</f>
      </c>
      <c r="EF59" s="442">
        <f>'Table 2'!BA58</f>
      </c>
      <c r="EG59" s="442">
        <f>'Table 2'!BB58</f>
      </c>
      <c r="EH59" s="442">
        <f>'Table 2'!BC58</f>
      </c>
      <c r="EI59" s="442">
        <f>'Table 2'!BD58</f>
      </c>
      <c r="EJ59" s="442">
        <f>'Table 2'!BE58</f>
      </c>
      <c r="EK59" s="442">
        <f>'Table 2'!BF58</f>
      </c>
      <c r="EL59" s="442">
        <f>'Table 2'!BG58</f>
      </c>
      <c r="EM59" s="442">
        <f>'Table 2'!BH58</f>
      </c>
      <c r="EN59" s="546"/>
      <c r="EO59" s="434">
        <f t="shared" si="33"/>
        <v>0</v>
      </c>
    </row>
    <row r="60" spans="2:145" ht="12.75">
      <c r="B60" s="531">
        <v>67</v>
      </c>
      <c r="C60" s="531" t="s">
        <v>548</v>
      </c>
      <c r="D60" s="531">
        <v>2088</v>
      </c>
      <c r="E60" s="532"/>
      <c r="F60" s="532">
        <v>20</v>
      </c>
      <c r="G60" s="532"/>
      <c r="H60" s="532"/>
      <c r="I60" s="532">
        <v>42</v>
      </c>
      <c r="J60" s="532"/>
      <c r="K60" s="532">
        <v>31</v>
      </c>
      <c r="L60" s="532">
        <v>36</v>
      </c>
      <c r="M60" s="532"/>
      <c r="N60" s="532">
        <v>31</v>
      </c>
      <c r="O60" s="532">
        <v>34</v>
      </c>
      <c r="P60" s="532">
        <v>30</v>
      </c>
      <c r="Q60" s="532">
        <v>34</v>
      </c>
      <c r="R60" s="532"/>
      <c r="S60" s="532"/>
      <c r="T60" s="532"/>
      <c r="U60" s="532"/>
      <c r="V60" s="532"/>
      <c r="W60" s="532"/>
      <c r="X60" s="532"/>
      <c r="Y60" s="532"/>
      <c r="Z60" s="504"/>
      <c r="AA60" s="504"/>
      <c r="AB60" s="532">
        <f t="shared" si="19"/>
        <v>258</v>
      </c>
      <c r="AC60" s="532">
        <f t="shared" si="20"/>
        <v>547303.7999999999</v>
      </c>
      <c r="AD60" s="532">
        <v>54834</v>
      </c>
      <c r="AE60" s="532"/>
      <c r="AF60" s="532">
        <v>37760</v>
      </c>
      <c r="AG60" s="532"/>
      <c r="AH60" s="561"/>
      <c r="AI60" s="532"/>
      <c r="AJ60" s="532">
        <f t="shared" si="21"/>
        <v>92594</v>
      </c>
      <c r="AK60" s="539"/>
      <c r="AL60" s="540"/>
      <c r="AM60" s="562"/>
      <c r="AN60" s="562"/>
      <c r="AO60" s="542">
        <f t="shared" si="22"/>
        <v>0</v>
      </c>
      <c r="AP60" s="532">
        <v>27199</v>
      </c>
      <c r="AQ60" s="532">
        <v>21348</v>
      </c>
      <c r="AR60" s="532">
        <v>20524</v>
      </c>
      <c r="AS60" s="532"/>
      <c r="AT60" s="532">
        <v>0</v>
      </c>
      <c r="AU60" s="532">
        <f t="shared" si="23"/>
        <v>69071</v>
      </c>
      <c r="AV60" s="532">
        <v>2586</v>
      </c>
      <c r="AW60" s="532">
        <f t="shared" si="18"/>
        <v>3265</v>
      </c>
      <c r="AX60" s="532">
        <f t="shared" si="24"/>
        <v>5851</v>
      </c>
      <c r="AY60" s="532">
        <v>14739</v>
      </c>
      <c r="AZ60" s="532">
        <v>14991</v>
      </c>
      <c r="BA60" s="532">
        <v>10424</v>
      </c>
      <c r="BB60" s="532"/>
      <c r="BC60" s="532">
        <f t="shared" si="25"/>
        <v>40154</v>
      </c>
      <c r="BD60" s="532">
        <v>2146</v>
      </c>
      <c r="BE60" s="532">
        <v>0</v>
      </c>
      <c r="BF60" s="532">
        <v>6833</v>
      </c>
      <c r="BG60" s="532">
        <v>22299</v>
      </c>
      <c r="BH60" s="532">
        <v>15998</v>
      </c>
      <c r="BI60" s="532">
        <f t="shared" si="26"/>
        <v>47276</v>
      </c>
      <c r="BJ60" s="532">
        <v>14256</v>
      </c>
      <c r="BK60" s="532">
        <v>1687</v>
      </c>
      <c r="BL60" s="532">
        <v>48201</v>
      </c>
      <c r="BM60" s="532">
        <v>6156</v>
      </c>
      <c r="BN60" s="532">
        <f t="shared" si="27"/>
        <v>70300</v>
      </c>
      <c r="BO60" s="532">
        <v>81170</v>
      </c>
      <c r="BP60" s="532">
        <v>4338</v>
      </c>
      <c r="BQ60" s="532"/>
      <c r="BR60" s="532">
        <v>0</v>
      </c>
      <c r="BS60" s="532">
        <v>0</v>
      </c>
      <c r="BT60" s="532">
        <f t="shared" si="28"/>
        <v>85508</v>
      </c>
      <c r="BU60" s="532"/>
      <c r="BV60" s="532"/>
      <c r="BW60" s="532">
        <f t="shared" si="29"/>
        <v>0</v>
      </c>
      <c r="BX60" s="532">
        <v>0</v>
      </c>
      <c r="BY60" s="532">
        <f t="shared" si="30"/>
        <v>958057.7999999999</v>
      </c>
      <c r="BZ60" s="543">
        <f t="shared" si="31"/>
        <v>1916115.5999999996</v>
      </c>
      <c r="CA60" s="441">
        <f t="shared" si="32"/>
        <v>547303.7999999999</v>
      </c>
      <c r="CC60" s="316">
        <v>0.469999999855645</v>
      </c>
      <c r="DW60" s="483"/>
      <c r="DX60" s="442">
        <f>'Table 2'!AS59</f>
      </c>
      <c r="DY60" s="442">
        <f>'Table 2'!AT59</f>
      </c>
      <c r="DZ60" s="442">
        <f>'Table 2'!AU59</f>
      </c>
      <c r="EA60" s="442">
        <f>'Table 2'!AV59</f>
      </c>
      <c r="EB60" s="546"/>
      <c r="EC60" s="442">
        <f>'Table 2'!AX59</f>
      </c>
      <c r="ED60" s="442">
        <f>'Table 2'!AY59</f>
      </c>
      <c r="EE60" s="442">
        <f>'Table 2'!AZ59</f>
      </c>
      <c r="EF60" s="442">
        <f>'Table 2'!BA59</f>
      </c>
      <c r="EG60" s="442">
        <f>'Table 2'!BB59</f>
      </c>
      <c r="EH60" s="442">
        <f>'Table 2'!BC59</f>
      </c>
      <c r="EI60" s="442">
        <f>'Table 2'!BD59</f>
      </c>
      <c r="EJ60" s="442">
        <f>'Table 2'!BE59</f>
      </c>
      <c r="EK60" s="442">
        <f>'Table 2'!BF59</f>
      </c>
      <c r="EL60" s="442">
        <f>'Table 2'!BG59</f>
      </c>
      <c r="EM60" s="442">
        <f>'Table 2'!BH59</f>
      </c>
      <c r="EN60" s="546"/>
      <c r="EO60" s="434">
        <f t="shared" si="33"/>
        <v>0</v>
      </c>
    </row>
    <row r="61" spans="2:145" ht="12.75">
      <c r="B61" s="531">
        <v>61</v>
      </c>
      <c r="C61" s="531" t="s">
        <v>549</v>
      </c>
      <c r="D61" s="531">
        <v>2089</v>
      </c>
      <c r="E61" s="532"/>
      <c r="F61" s="532">
        <v>17.5</v>
      </c>
      <c r="G61" s="532"/>
      <c r="H61" s="532"/>
      <c r="I61" s="532">
        <v>50</v>
      </c>
      <c r="J61" s="532"/>
      <c r="K61" s="532">
        <v>55</v>
      </c>
      <c r="L61" s="532">
        <v>60</v>
      </c>
      <c r="M61" s="532"/>
      <c r="N61" s="532">
        <v>48</v>
      </c>
      <c r="O61" s="532">
        <v>50</v>
      </c>
      <c r="P61" s="532">
        <v>59</v>
      </c>
      <c r="Q61" s="532">
        <v>51</v>
      </c>
      <c r="R61" s="532"/>
      <c r="S61" s="532"/>
      <c r="T61" s="532"/>
      <c r="U61" s="532"/>
      <c r="V61" s="532"/>
      <c r="W61" s="532"/>
      <c r="X61" s="532"/>
      <c r="Y61" s="532"/>
      <c r="Z61" s="504"/>
      <c r="AA61" s="504"/>
      <c r="AB61" s="532">
        <f t="shared" si="19"/>
        <v>390.5</v>
      </c>
      <c r="AC61" s="532">
        <f t="shared" si="20"/>
        <v>845717.3400000001</v>
      </c>
      <c r="AD61" s="532">
        <v>54834</v>
      </c>
      <c r="AE61" s="532"/>
      <c r="AF61" s="532">
        <v>11800</v>
      </c>
      <c r="AG61" s="532"/>
      <c r="AH61" s="561"/>
      <c r="AI61" s="532"/>
      <c r="AJ61" s="532">
        <f t="shared" si="21"/>
        <v>66634</v>
      </c>
      <c r="AK61" s="539"/>
      <c r="AL61" s="540"/>
      <c r="AM61" s="562"/>
      <c r="AN61" s="562"/>
      <c r="AO61" s="542">
        <f t="shared" si="22"/>
        <v>0</v>
      </c>
      <c r="AP61" s="532">
        <v>38080</v>
      </c>
      <c r="AQ61" s="532">
        <v>22414</v>
      </c>
      <c r="AR61" s="532">
        <v>21547</v>
      </c>
      <c r="AS61" s="532"/>
      <c r="AT61" s="532">
        <v>154259</v>
      </c>
      <c r="AU61" s="532">
        <f t="shared" si="23"/>
        <v>236300</v>
      </c>
      <c r="AV61" s="532">
        <v>12401</v>
      </c>
      <c r="AW61" s="532">
        <f t="shared" si="18"/>
        <v>3265</v>
      </c>
      <c r="AX61" s="532">
        <f t="shared" si="24"/>
        <v>15666</v>
      </c>
      <c r="AY61" s="532">
        <v>15474</v>
      </c>
      <c r="AZ61" s="532">
        <v>8299</v>
      </c>
      <c r="BA61" s="532">
        <v>6189</v>
      </c>
      <c r="BB61" s="532"/>
      <c r="BC61" s="532">
        <f t="shared" si="25"/>
        <v>29962</v>
      </c>
      <c r="BD61" s="532">
        <v>1220</v>
      </c>
      <c r="BE61" s="532">
        <v>0</v>
      </c>
      <c r="BF61" s="532">
        <v>0</v>
      </c>
      <c r="BG61" s="532">
        <v>12344</v>
      </c>
      <c r="BH61" s="532">
        <v>9498</v>
      </c>
      <c r="BI61" s="532">
        <f t="shared" si="26"/>
        <v>23062</v>
      </c>
      <c r="BJ61" s="532">
        <v>14761</v>
      </c>
      <c r="BK61" s="532">
        <v>3049</v>
      </c>
      <c r="BL61" s="532">
        <v>66524</v>
      </c>
      <c r="BM61" s="532">
        <v>8681</v>
      </c>
      <c r="BN61" s="532">
        <f t="shared" si="27"/>
        <v>93015</v>
      </c>
      <c r="BO61" s="532">
        <v>81170</v>
      </c>
      <c r="BP61" s="532">
        <v>0</v>
      </c>
      <c r="BQ61" s="532"/>
      <c r="BR61" s="532">
        <v>11064</v>
      </c>
      <c r="BS61" s="532">
        <v>0</v>
      </c>
      <c r="BT61" s="532">
        <f t="shared" si="28"/>
        <v>92234</v>
      </c>
      <c r="BU61" s="532"/>
      <c r="BV61" s="532"/>
      <c r="BW61" s="532">
        <f t="shared" si="29"/>
        <v>0</v>
      </c>
      <c r="BX61" s="532">
        <v>0</v>
      </c>
      <c r="BY61" s="532">
        <f t="shared" si="30"/>
        <v>1402590.34</v>
      </c>
      <c r="BZ61" s="543">
        <f t="shared" si="31"/>
        <v>2805180.68</v>
      </c>
      <c r="CA61" s="441">
        <f t="shared" si="32"/>
        <v>845717.3400000001</v>
      </c>
      <c r="CC61" s="316">
        <v>0.2600000000093132</v>
      </c>
      <c r="DW61" s="483"/>
      <c r="DX61" s="442">
        <f>'Table 2'!AS60</f>
      </c>
      <c r="DY61" s="442">
        <f>'Table 2'!AT60</f>
      </c>
      <c r="DZ61" s="442">
        <f>'Table 2'!AU60</f>
      </c>
      <c r="EA61" s="442">
        <f>'Table 2'!AV60</f>
      </c>
      <c r="EB61" s="546"/>
      <c r="EC61" s="442">
        <f>'Table 2'!AX60</f>
      </c>
      <c r="ED61" s="442">
        <f>'Table 2'!AY60</f>
      </c>
      <c r="EE61" s="442">
        <f>'Table 2'!AZ60</f>
      </c>
      <c r="EF61" s="442">
        <f>'Table 2'!BA60</f>
      </c>
      <c r="EG61" s="442">
        <f>'Table 2'!BB60</f>
      </c>
      <c r="EH61" s="442">
        <f>'Table 2'!BC60</f>
      </c>
      <c r="EI61" s="442">
        <f>'Table 2'!BD60</f>
      </c>
      <c r="EJ61" s="442">
        <f>'Table 2'!BE60</f>
      </c>
      <c r="EK61" s="442">
        <f>'Table 2'!BF60</f>
      </c>
      <c r="EL61" s="442">
        <f>'Table 2'!BG60</f>
      </c>
      <c r="EM61" s="442">
        <f>'Table 2'!BH60</f>
      </c>
      <c r="EN61" s="546"/>
      <c r="EO61" s="434">
        <f t="shared" si="33"/>
        <v>0</v>
      </c>
    </row>
    <row r="62" spans="2:145" ht="12.75">
      <c r="B62" s="531">
        <v>23</v>
      </c>
      <c r="C62" s="531" t="s">
        <v>550</v>
      </c>
      <c r="D62" s="531">
        <v>2090</v>
      </c>
      <c r="E62" s="532"/>
      <c r="F62" s="532">
        <v>30</v>
      </c>
      <c r="G62" s="532"/>
      <c r="H62" s="532"/>
      <c r="I62" s="532">
        <v>60</v>
      </c>
      <c r="J62" s="532"/>
      <c r="K62" s="532">
        <v>60</v>
      </c>
      <c r="L62" s="532">
        <v>60</v>
      </c>
      <c r="M62" s="532"/>
      <c r="N62" s="532">
        <v>59</v>
      </c>
      <c r="O62" s="532">
        <v>59</v>
      </c>
      <c r="P62" s="532">
        <v>60</v>
      </c>
      <c r="Q62" s="532">
        <v>60</v>
      </c>
      <c r="R62" s="532"/>
      <c r="S62" s="532"/>
      <c r="T62" s="532"/>
      <c r="U62" s="532"/>
      <c r="V62" s="532"/>
      <c r="W62" s="532"/>
      <c r="X62" s="532"/>
      <c r="Y62" s="532"/>
      <c r="Z62" s="504"/>
      <c r="AA62" s="504"/>
      <c r="AB62" s="532">
        <f t="shared" si="19"/>
        <v>448</v>
      </c>
      <c r="AC62" s="532">
        <f t="shared" si="20"/>
        <v>952016.7</v>
      </c>
      <c r="AD62" s="532">
        <v>74268</v>
      </c>
      <c r="AE62" s="532"/>
      <c r="AF62" s="532">
        <v>0</v>
      </c>
      <c r="AG62" s="532"/>
      <c r="AH62" s="561"/>
      <c r="AI62" s="532"/>
      <c r="AJ62" s="532">
        <f t="shared" si="21"/>
        <v>74268</v>
      </c>
      <c r="AK62" s="539"/>
      <c r="AL62" s="540"/>
      <c r="AM62" s="562"/>
      <c r="AN62" s="562"/>
      <c r="AO62" s="542">
        <f t="shared" si="22"/>
        <v>0</v>
      </c>
      <c r="AP62" s="532">
        <v>7616</v>
      </c>
      <c r="AQ62" s="532">
        <v>16638</v>
      </c>
      <c r="AR62" s="532">
        <v>15995</v>
      </c>
      <c r="AS62" s="532"/>
      <c r="AT62" s="532">
        <v>0</v>
      </c>
      <c r="AU62" s="532">
        <f t="shared" si="23"/>
        <v>40249</v>
      </c>
      <c r="AV62" s="532">
        <v>0</v>
      </c>
      <c r="AW62" s="532">
        <f t="shared" si="18"/>
        <v>3265</v>
      </c>
      <c r="AX62" s="532">
        <f t="shared" si="24"/>
        <v>3265</v>
      </c>
      <c r="AY62" s="532">
        <v>11487</v>
      </c>
      <c r="AZ62" s="532">
        <v>2543</v>
      </c>
      <c r="BA62" s="532">
        <v>3905</v>
      </c>
      <c r="BB62" s="532"/>
      <c r="BC62" s="532">
        <f t="shared" si="25"/>
        <v>17935</v>
      </c>
      <c r="BD62" s="532">
        <v>317</v>
      </c>
      <c r="BE62" s="532">
        <v>0</v>
      </c>
      <c r="BF62" s="532">
        <v>0</v>
      </c>
      <c r="BG62" s="532">
        <v>3783</v>
      </c>
      <c r="BH62" s="532">
        <v>5993</v>
      </c>
      <c r="BI62" s="532">
        <f t="shared" si="26"/>
        <v>10093</v>
      </c>
      <c r="BJ62" s="532">
        <v>21952</v>
      </c>
      <c r="BK62" s="532">
        <v>2446</v>
      </c>
      <c r="BL62" s="532">
        <v>58396</v>
      </c>
      <c r="BM62" s="532">
        <v>5980</v>
      </c>
      <c r="BN62" s="532">
        <f t="shared" si="27"/>
        <v>88774</v>
      </c>
      <c r="BO62" s="532">
        <v>81170</v>
      </c>
      <c r="BP62" s="532">
        <v>0</v>
      </c>
      <c r="BQ62" s="532"/>
      <c r="BR62" s="532">
        <v>9712</v>
      </c>
      <c r="BS62" s="532">
        <v>0</v>
      </c>
      <c r="BT62" s="532">
        <f t="shared" si="28"/>
        <v>90882</v>
      </c>
      <c r="BU62" s="532"/>
      <c r="BV62" s="532"/>
      <c r="BW62" s="532">
        <f t="shared" si="29"/>
        <v>0</v>
      </c>
      <c r="BX62" s="532">
        <v>0</v>
      </c>
      <c r="BY62" s="532">
        <f t="shared" si="30"/>
        <v>1277482.7</v>
      </c>
      <c r="BZ62" s="543">
        <f t="shared" si="31"/>
        <v>2554965.4</v>
      </c>
      <c r="CA62" s="441">
        <f t="shared" si="32"/>
        <v>952016.7</v>
      </c>
      <c r="CC62" s="316">
        <v>0.44999999995343387</v>
      </c>
      <c r="DW62" s="483"/>
      <c r="DX62" s="442">
        <f>'Table 2'!AS61</f>
      </c>
      <c r="DY62" s="442">
        <f>'Table 2'!AT61</f>
      </c>
      <c r="DZ62" s="442">
        <f>'Table 2'!AU61</f>
      </c>
      <c r="EA62" s="442">
        <f>'Table 2'!AV61</f>
      </c>
      <c r="EB62" s="546"/>
      <c r="EC62" s="442">
        <f>'Table 2'!AX61</f>
      </c>
      <c r="ED62" s="442">
        <f>'Table 2'!AY61</f>
      </c>
      <c r="EE62" s="442">
        <f>'Table 2'!AZ61</f>
      </c>
      <c r="EF62" s="442">
        <f>'Table 2'!BA61</f>
      </c>
      <c r="EG62" s="442">
        <f>'Table 2'!BB61</f>
      </c>
      <c r="EH62" s="442">
        <f>'Table 2'!BC61</f>
      </c>
      <c r="EI62" s="442">
        <f>'Table 2'!BD61</f>
      </c>
      <c r="EJ62" s="442">
        <f>'Table 2'!BE61</f>
      </c>
      <c r="EK62" s="442">
        <f>'Table 2'!BF61</f>
      </c>
      <c r="EL62" s="442">
        <f>'Table 2'!BG61</f>
      </c>
      <c r="EM62" s="442">
        <f>'Table 2'!BH61</f>
      </c>
      <c r="EN62" s="546"/>
      <c r="EO62" s="434">
        <f t="shared" si="33"/>
        <v>0</v>
      </c>
    </row>
    <row r="63" spans="2:145" ht="12.75">
      <c r="B63" s="531">
        <v>34</v>
      </c>
      <c r="C63" s="531" t="s">
        <v>551</v>
      </c>
      <c r="D63" s="531">
        <v>2091</v>
      </c>
      <c r="E63" s="532"/>
      <c r="F63" s="532">
        <v>27.5</v>
      </c>
      <c r="G63" s="532"/>
      <c r="H63" s="532"/>
      <c r="I63" s="532">
        <v>60</v>
      </c>
      <c r="J63" s="532"/>
      <c r="K63" s="532">
        <v>59</v>
      </c>
      <c r="L63" s="532">
        <v>59</v>
      </c>
      <c r="M63" s="532"/>
      <c r="N63" s="532">
        <v>61</v>
      </c>
      <c r="O63" s="532">
        <v>56</v>
      </c>
      <c r="P63" s="532">
        <v>60</v>
      </c>
      <c r="Q63" s="532">
        <v>60</v>
      </c>
      <c r="R63" s="532"/>
      <c r="S63" s="532"/>
      <c r="T63" s="532"/>
      <c r="U63" s="532"/>
      <c r="V63" s="532"/>
      <c r="W63" s="532"/>
      <c r="X63" s="532"/>
      <c r="Y63" s="532"/>
      <c r="Z63" s="504"/>
      <c r="AA63" s="504"/>
      <c r="AB63" s="532">
        <f t="shared" si="19"/>
        <v>442.5</v>
      </c>
      <c r="AC63" s="532">
        <f t="shared" si="20"/>
        <v>945193.1400000001</v>
      </c>
      <c r="AD63" s="532">
        <v>54834</v>
      </c>
      <c r="AE63" s="532"/>
      <c r="AF63" s="532">
        <v>0</v>
      </c>
      <c r="AG63" s="532"/>
      <c r="AH63" s="561"/>
      <c r="AI63" s="532"/>
      <c r="AJ63" s="532">
        <f t="shared" si="21"/>
        <v>54834</v>
      </c>
      <c r="AK63" s="539"/>
      <c r="AL63" s="540"/>
      <c r="AM63" s="562"/>
      <c r="AN63" s="562"/>
      <c r="AO63" s="542">
        <f t="shared" si="22"/>
        <v>0</v>
      </c>
      <c r="AP63" s="532">
        <v>20672</v>
      </c>
      <c r="AQ63" s="532">
        <v>31472</v>
      </c>
      <c r="AR63" s="532">
        <v>30256</v>
      </c>
      <c r="AS63" s="532"/>
      <c r="AT63" s="532">
        <v>0</v>
      </c>
      <c r="AU63" s="532">
        <f t="shared" si="23"/>
        <v>82400</v>
      </c>
      <c r="AV63" s="532">
        <v>0</v>
      </c>
      <c r="AW63" s="532">
        <f t="shared" si="18"/>
        <v>3265</v>
      </c>
      <c r="AX63" s="532">
        <f t="shared" si="24"/>
        <v>3265</v>
      </c>
      <c r="AY63" s="532">
        <v>21728</v>
      </c>
      <c r="AZ63" s="532">
        <v>7094</v>
      </c>
      <c r="BA63" s="532">
        <v>7043</v>
      </c>
      <c r="BB63" s="532"/>
      <c r="BC63" s="532">
        <f t="shared" si="25"/>
        <v>35865</v>
      </c>
      <c r="BD63" s="532">
        <v>1195</v>
      </c>
      <c r="BE63" s="532">
        <v>0</v>
      </c>
      <c r="BF63" s="532">
        <v>0</v>
      </c>
      <c r="BG63" s="532">
        <v>10552</v>
      </c>
      <c r="BH63" s="532">
        <v>10809</v>
      </c>
      <c r="BI63" s="532">
        <f t="shared" si="26"/>
        <v>22556</v>
      </c>
      <c r="BJ63" s="532">
        <v>18041</v>
      </c>
      <c r="BK63" s="532">
        <v>74</v>
      </c>
      <c r="BL63" s="532">
        <v>62106</v>
      </c>
      <c r="BM63" s="532">
        <v>6011</v>
      </c>
      <c r="BN63" s="532">
        <f t="shared" si="27"/>
        <v>86232</v>
      </c>
      <c r="BO63" s="532">
        <v>81170</v>
      </c>
      <c r="BP63" s="532">
        <v>0</v>
      </c>
      <c r="BQ63" s="532"/>
      <c r="BR63" s="532">
        <v>10329</v>
      </c>
      <c r="BS63" s="532">
        <v>0</v>
      </c>
      <c r="BT63" s="532">
        <f t="shared" si="28"/>
        <v>91499</v>
      </c>
      <c r="BU63" s="532"/>
      <c r="BV63" s="532"/>
      <c r="BW63" s="532">
        <f t="shared" si="29"/>
        <v>0</v>
      </c>
      <c r="BX63" s="532">
        <v>0</v>
      </c>
      <c r="BY63" s="532">
        <f t="shared" si="30"/>
        <v>1321844.1400000001</v>
      </c>
      <c r="BZ63" s="543">
        <f t="shared" si="31"/>
        <v>2643688.2800000003</v>
      </c>
      <c r="CA63" s="441">
        <f t="shared" si="32"/>
        <v>945193.1400000001</v>
      </c>
      <c r="CC63" s="316">
        <v>-0.18999999994412065</v>
      </c>
      <c r="DW63" s="483"/>
      <c r="DX63" s="442">
        <f>'Table 2'!AS62</f>
      </c>
      <c r="DY63" s="442">
        <f>'Table 2'!AT62</f>
      </c>
      <c r="DZ63" s="442">
        <f>'Table 2'!AU62</f>
      </c>
      <c r="EA63" s="442">
        <f>'Table 2'!AV62</f>
      </c>
      <c r="EB63" s="546"/>
      <c r="EC63" s="442">
        <f>'Table 2'!AX62</f>
      </c>
      <c r="ED63" s="442">
        <f>'Table 2'!AY62</f>
      </c>
      <c r="EE63" s="442">
        <f>'Table 2'!AZ62</f>
      </c>
      <c r="EF63" s="442">
        <f>'Table 2'!BA62</f>
      </c>
      <c r="EG63" s="442">
        <f>'Table 2'!BB62</f>
      </c>
      <c r="EH63" s="442">
        <f>'Table 2'!BC62</f>
      </c>
      <c r="EI63" s="442">
        <f>'Table 2'!BD62</f>
      </c>
      <c r="EJ63" s="442">
        <f>'Table 2'!BE62</f>
      </c>
      <c r="EK63" s="442">
        <f>'Table 2'!BF62</f>
      </c>
      <c r="EL63" s="442">
        <f>'Table 2'!BG62</f>
      </c>
      <c r="EM63" s="442">
        <f>'Table 2'!BH62</f>
      </c>
      <c r="EN63" s="546"/>
      <c r="EO63" s="434">
        <f t="shared" si="33"/>
        <v>0</v>
      </c>
    </row>
    <row r="64" spans="2:145" ht="12.75">
      <c r="B64" s="531">
        <v>8</v>
      </c>
      <c r="C64" s="531" t="s">
        <v>552</v>
      </c>
      <c r="D64" s="531">
        <v>2094</v>
      </c>
      <c r="E64" s="532"/>
      <c r="F64" s="532">
        <v>27.5</v>
      </c>
      <c r="G64" s="532"/>
      <c r="H64" s="532"/>
      <c r="I64" s="532">
        <v>50</v>
      </c>
      <c r="J64" s="532"/>
      <c r="K64" s="532">
        <v>64</v>
      </c>
      <c r="L64" s="532">
        <v>39</v>
      </c>
      <c r="M64" s="532"/>
      <c r="N64" s="532">
        <v>51</v>
      </c>
      <c r="O64" s="532">
        <v>70</v>
      </c>
      <c r="P64" s="532">
        <v>67</v>
      </c>
      <c r="Q64" s="532">
        <v>54</v>
      </c>
      <c r="R64" s="532"/>
      <c r="S64" s="532"/>
      <c r="T64" s="532"/>
      <c r="U64" s="532"/>
      <c r="V64" s="532"/>
      <c r="W64" s="532"/>
      <c r="X64" s="532"/>
      <c r="Y64" s="532"/>
      <c r="Z64" s="504"/>
      <c r="AA64" s="504"/>
      <c r="AB64" s="532">
        <f t="shared" si="19"/>
        <v>422.5</v>
      </c>
      <c r="AC64" s="532">
        <f t="shared" si="20"/>
        <v>894260.44</v>
      </c>
      <c r="AD64" s="532">
        <v>74268</v>
      </c>
      <c r="AE64" s="532"/>
      <c r="AF64" s="532">
        <v>17700</v>
      </c>
      <c r="AG64" s="532"/>
      <c r="AH64" s="561"/>
      <c r="AI64" s="532"/>
      <c r="AJ64" s="532">
        <f t="shared" si="21"/>
        <v>91968</v>
      </c>
      <c r="AK64" s="539"/>
      <c r="AL64" s="540"/>
      <c r="AM64" s="562"/>
      <c r="AN64" s="562"/>
      <c r="AO64" s="542">
        <f t="shared" si="22"/>
        <v>0</v>
      </c>
      <c r="AP64" s="532">
        <v>35903</v>
      </c>
      <c r="AQ64" s="532">
        <v>50524</v>
      </c>
      <c r="AR64" s="532">
        <v>48571</v>
      </c>
      <c r="AS64" s="532"/>
      <c r="AT64" s="532">
        <v>0</v>
      </c>
      <c r="AU64" s="532">
        <f t="shared" si="23"/>
        <v>134998</v>
      </c>
      <c r="AV64" s="532">
        <v>0</v>
      </c>
      <c r="AW64" s="532">
        <f t="shared" si="18"/>
        <v>3265</v>
      </c>
      <c r="AX64" s="532">
        <f t="shared" si="24"/>
        <v>3265</v>
      </c>
      <c r="AY64" s="532">
        <v>34880</v>
      </c>
      <c r="AZ64" s="532">
        <v>25565</v>
      </c>
      <c r="BA64" s="532">
        <v>14532</v>
      </c>
      <c r="BB64" s="532"/>
      <c r="BC64" s="532">
        <f t="shared" si="25"/>
        <v>74977</v>
      </c>
      <c r="BD64" s="532">
        <v>3683</v>
      </c>
      <c r="BE64" s="532">
        <v>0</v>
      </c>
      <c r="BF64" s="532">
        <v>6833</v>
      </c>
      <c r="BG64" s="532">
        <v>38028</v>
      </c>
      <c r="BH64" s="532">
        <v>22304</v>
      </c>
      <c r="BI64" s="532">
        <f t="shared" si="26"/>
        <v>70848</v>
      </c>
      <c r="BJ64" s="532">
        <v>31188</v>
      </c>
      <c r="BK64" s="532">
        <v>2620</v>
      </c>
      <c r="BL64" s="532">
        <v>51768</v>
      </c>
      <c r="BM64" s="532">
        <v>6308</v>
      </c>
      <c r="BN64" s="532">
        <f t="shared" si="27"/>
        <v>91884</v>
      </c>
      <c r="BO64" s="532">
        <v>81170</v>
      </c>
      <c r="BP64" s="532">
        <v>0</v>
      </c>
      <c r="BQ64" s="532"/>
      <c r="BR64" s="532">
        <v>0</v>
      </c>
      <c r="BS64" s="532">
        <v>0</v>
      </c>
      <c r="BT64" s="532">
        <f t="shared" si="28"/>
        <v>81170</v>
      </c>
      <c r="BU64" s="532"/>
      <c r="BV64" s="532"/>
      <c r="BW64" s="532">
        <f t="shared" si="29"/>
        <v>0</v>
      </c>
      <c r="BX64" s="532">
        <v>0</v>
      </c>
      <c r="BY64" s="532">
        <f t="shared" si="30"/>
        <v>1443370.44</v>
      </c>
      <c r="BZ64" s="543">
        <f t="shared" si="31"/>
        <v>2886740.88</v>
      </c>
      <c r="CA64" s="441">
        <f t="shared" si="32"/>
        <v>894260.44</v>
      </c>
      <c r="CC64" s="316">
        <v>-0.2800000000279397</v>
      </c>
      <c r="DW64" s="483"/>
      <c r="DX64" s="442">
        <f>'Table 2'!AS63</f>
      </c>
      <c r="DY64" s="442">
        <f>'Table 2'!AT63</f>
      </c>
      <c r="DZ64" s="442">
        <f>'Table 2'!AU63</f>
      </c>
      <c r="EA64" s="442">
        <f>'Table 2'!AV63</f>
      </c>
      <c r="EB64" s="546"/>
      <c r="EC64" s="442">
        <f>'Table 2'!AX63</f>
      </c>
      <c r="ED64" s="442">
        <f>'Table 2'!AY63</f>
      </c>
      <c r="EE64" s="442">
        <f>'Table 2'!AZ63</f>
      </c>
      <c r="EF64" s="442">
        <f>'Table 2'!BA63</f>
      </c>
      <c r="EG64" s="442">
        <f>'Table 2'!BB63</f>
      </c>
      <c r="EH64" s="442">
        <f>'Table 2'!BC63</f>
      </c>
      <c r="EI64" s="442">
        <f>'Table 2'!BD63</f>
      </c>
      <c r="EJ64" s="442">
        <f>'Table 2'!BE63</f>
      </c>
      <c r="EK64" s="442">
        <f>'Table 2'!BF63</f>
      </c>
      <c r="EL64" s="442">
        <f>'Table 2'!BG63</f>
      </c>
      <c r="EM64" s="442">
        <f>'Table 2'!BH63</f>
      </c>
      <c r="EN64" s="546"/>
      <c r="EO64" s="434">
        <f t="shared" si="33"/>
        <v>0</v>
      </c>
    </row>
    <row r="65" spans="2:145" ht="12.75">
      <c r="B65" s="531">
        <v>39</v>
      </c>
      <c r="C65" s="531" t="s">
        <v>553</v>
      </c>
      <c r="D65" s="531">
        <v>2096</v>
      </c>
      <c r="E65" s="532"/>
      <c r="F65" s="532">
        <v>25</v>
      </c>
      <c r="G65" s="532"/>
      <c r="H65" s="532"/>
      <c r="I65" s="532">
        <v>60</v>
      </c>
      <c r="J65" s="532"/>
      <c r="K65" s="532">
        <v>78</v>
      </c>
      <c r="L65" s="532">
        <v>73</v>
      </c>
      <c r="M65" s="532"/>
      <c r="N65" s="532">
        <v>66</v>
      </c>
      <c r="O65" s="532">
        <v>79</v>
      </c>
      <c r="P65" s="532">
        <v>87</v>
      </c>
      <c r="Q65" s="532">
        <v>87</v>
      </c>
      <c r="R65" s="532"/>
      <c r="S65" s="532"/>
      <c r="T65" s="532"/>
      <c r="U65" s="532"/>
      <c r="V65" s="532"/>
      <c r="W65" s="532"/>
      <c r="X65" s="532"/>
      <c r="Y65" s="532"/>
      <c r="Z65" s="504"/>
      <c r="AA65" s="504"/>
      <c r="AB65" s="532">
        <f t="shared" si="19"/>
        <v>555</v>
      </c>
      <c r="AC65" s="532">
        <f t="shared" si="20"/>
        <v>1193796.7200000002</v>
      </c>
      <c r="AD65" s="532">
        <v>64551</v>
      </c>
      <c r="AE65" s="532"/>
      <c r="AF65" s="532">
        <v>12980</v>
      </c>
      <c r="AG65" s="532"/>
      <c r="AH65" s="561"/>
      <c r="AI65" s="532"/>
      <c r="AJ65" s="532">
        <f t="shared" si="21"/>
        <v>77531</v>
      </c>
      <c r="AK65" s="539"/>
      <c r="AL65" s="540"/>
      <c r="AM65" s="562"/>
      <c r="AN65" s="562"/>
      <c r="AO65" s="542">
        <f t="shared" si="22"/>
        <v>0</v>
      </c>
      <c r="AP65" s="532">
        <v>6528</v>
      </c>
      <c r="AQ65" s="532">
        <v>25485</v>
      </c>
      <c r="AR65" s="532">
        <v>24500</v>
      </c>
      <c r="AS65" s="532"/>
      <c r="AT65" s="532">
        <v>0</v>
      </c>
      <c r="AU65" s="532">
        <f t="shared" si="23"/>
        <v>56513</v>
      </c>
      <c r="AV65" s="532">
        <v>0</v>
      </c>
      <c r="AW65" s="532">
        <f t="shared" si="18"/>
        <v>3265</v>
      </c>
      <c r="AX65" s="532">
        <f t="shared" si="24"/>
        <v>3265</v>
      </c>
      <c r="AY65" s="532">
        <v>17595</v>
      </c>
      <c r="AZ65" s="532">
        <v>3212</v>
      </c>
      <c r="BA65" s="532">
        <v>2937</v>
      </c>
      <c r="BB65" s="532"/>
      <c r="BC65" s="532">
        <f t="shared" si="25"/>
        <v>23744</v>
      </c>
      <c r="BD65" s="532">
        <v>586</v>
      </c>
      <c r="BE65" s="532">
        <v>0</v>
      </c>
      <c r="BF65" s="532">
        <v>0</v>
      </c>
      <c r="BG65" s="532">
        <v>4778</v>
      </c>
      <c r="BH65" s="532">
        <v>4508</v>
      </c>
      <c r="BI65" s="532">
        <f t="shared" si="26"/>
        <v>9872</v>
      </c>
      <c r="BJ65" s="532">
        <v>41634</v>
      </c>
      <c r="BK65" s="532">
        <v>2907</v>
      </c>
      <c r="BL65" s="532">
        <v>58878</v>
      </c>
      <c r="BM65" s="532">
        <v>5538</v>
      </c>
      <c r="BN65" s="532">
        <f t="shared" si="27"/>
        <v>108957</v>
      </c>
      <c r="BO65" s="532">
        <v>81170</v>
      </c>
      <c r="BP65" s="532">
        <v>0</v>
      </c>
      <c r="BQ65" s="532"/>
      <c r="BR65" s="532">
        <v>9792</v>
      </c>
      <c r="BS65" s="532">
        <v>0</v>
      </c>
      <c r="BT65" s="532">
        <f t="shared" si="28"/>
        <v>90962</v>
      </c>
      <c r="BU65" s="532"/>
      <c r="BV65" s="532"/>
      <c r="BW65" s="532">
        <f t="shared" si="29"/>
        <v>0</v>
      </c>
      <c r="BX65" s="532">
        <v>0</v>
      </c>
      <c r="BY65" s="532">
        <f t="shared" si="30"/>
        <v>1564640.7200000002</v>
      </c>
      <c r="BZ65" s="543">
        <f t="shared" si="31"/>
        <v>3129281.4400000004</v>
      </c>
      <c r="CA65" s="441">
        <f t="shared" si="32"/>
        <v>1193796.7200000002</v>
      </c>
      <c r="CC65" s="316">
        <v>0.15999999991618097</v>
      </c>
      <c r="DW65" s="483"/>
      <c r="DX65" s="442">
        <f>'Table 2'!AS64</f>
      </c>
      <c r="DY65" s="442">
        <f>'Table 2'!AT64</f>
      </c>
      <c r="DZ65" s="442">
        <f>'Table 2'!AU64</f>
      </c>
      <c r="EA65" s="442">
        <f>'Table 2'!AV64</f>
      </c>
      <c r="EB65" s="546"/>
      <c r="EC65" s="442">
        <f>'Table 2'!AX64</f>
      </c>
      <c r="ED65" s="442">
        <f>'Table 2'!AY64</f>
      </c>
      <c r="EE65" s="442">
        <f>'Table 2'!AZ64</f>
      </c>
      <c r="EF65" s="442">
        <f>'Table 2'!BA64</f>
      </c>
      <c r="EG65" s="442">
        <f>'Table 2'!BB64</f>
      </c>
      <c r="EH65" s="442">
        <f>'Table 2'!BC64</f>
      </c>
      <c r="EI65" s="442">
        <f>'Table 2'!BD64</f>
      </c>
      <c r="EJ65" s="442">
        <f>'Table 2'!BE64</f>
      </c>
      <c r="EK65" s="442">
        <f>'Table 2'!BF64</f>
      </c>
      <c r="EL65" s="442">
        <f>'Table 2'!BG64</f>
      </c>
      <c r="EM65" s="442">
        <f>'Table 2'!BH64</f>
      </c>
      <c r="EN65" s="546"/>
      <c r="EO65" s="434">
        <f t="shared" si="33"/>
        <v>0</v>
      </c>
    </row>
    <row r="66" spans="2:145" ht="12.75">
      <c r="B66" s="531">
        <v>19</v>
      </c>
      <c r="C66" s="531" t="s">
        <v>554</v>
      </c>
      <c r="D66" s="531">
        <v>2098</v>
      </c>
      <c r="E66" s="532"/>
      <c r="F66" s="532">
        <v>25</v>
      </c>
      <c r="G66" s="532"/>
      <c r="H66" s="532"/>
      <c r="I66" s="532">
        <v>50</v>
      </c>
      <c r="J66" s="532"/>
      <c r="K66" s="532">
        <v>54</v>
      </c>
      <c r="L66" s="532">
        <v>45</v>
      </c>
      <c r="M66" s="532"/>
      <c r="N66" s="532">
        <v>35</v>
      </c>
      <c r="O66" s="532">
        <v>37</v>
      </c>
      <c r="P66" s="532">
        <v>28</v>
      </c>
      <c r="Q66" s="532">
        <v>27</v>
      </c>
      <c r="R66" s="532"/>
      <c r="S66" s="532"/>
      <c r="T66" s="532"/>
      <c r="U66" s="532"/>
      <c r="V66" s="532"/>
      <c r="W66" s="532"/>
      <c r="X66" s="532"/>
      <c r="Y66" s="532"/>
      <c r="Z66" s="504"/>
      <c r="AA66" s="504"/>
      <c r="AB66" s="532">
        <f t="shared" si="19"/>
        <v>301</v>
      </c>
      <c r="AC66" s="532">
        <f t="shared" si="20"/>
        <v>636908.76</v>
      </c>
      <c r="AD66" s="532">
        <v>54834</v>
      </c>
      <c r="AE66" s="532"/>
      <c r="AF66" s="532">
        <v>22420</v>
      </c>
      <c r="AG66" s="532"/>
      <c r="AH66" s="561"/>
      <c r="AI66" s="532"/>
      <c r="AJ66" s="532">
        <f t="shared" si="21"/>
        <v>77254</v>
      </c>
      <c r="AK66" s="539"/>
      <c r="AL66" s="540"/>
      <c r="AM66" s="562"/>
      <c r="AN66" s="562"/>
      <c r="AO66" s="542">
        <f t="shared" si="22"/>
        <v>0</v>
      </c>
      <c r="AP66" s="532">
        <v>17408</v>
      </c>
      <c r="AQ66" s="532">
        <v>3821</v>
      </c>
      <c r="AR66" s="532">
        <v>3673</v>
      </c>
      <c r="AS66" s="532"/>
      <c r="AT66" s="532">
        <v>0</v>
      </c>
      <c r="AU66" s="532">
        <f t="shared" si="23"/>
        <v>24902</v>
      </c>
      <c r="AV66" s="532">
        <v>10322</v>
      </c>
      <c r="AW66" s="532">
        <f t="shared" si="18"/>
        <v>3265</v>
      </c>
      <c r="AX66" s="532">
        <f t="shared" si="24"/>
        <v>13587</v>
      </c>
      <c r="AY66" s="532">
        <v>2638</v>
      </c>
      <c r="AZ66" s="532">
        <v>937</v>
      </c>
      <c r="BA66" s="532">
        <v>1572</v>
      </c>
      <c r="BB66" s="532"/>
      <c r="BC66" s="532">
        <f t="shared" si="25"/>
        <v>5147</v>
      </c>
      <c r="BD66" s="532">
        <v>98</v>
      </c>
      <c r="BE66" s="532">
        <v>0</v>
      </c>
      <c r="BF66" s="532">
        <v>0</v>
      </c>
      <c r="BG66" s="532">
        <v>1394</v>
      </c>
      <c r="BH66" s="532">
        <v>2412</v>
      </c>
      <c r="BI66" s="532">
        <f t="shared" si="26"/>
        <v>3904</v>
      </c>
      <c r="BJ66" s="532">
        <v>24476</v>
      </c>
      <c r="BK66" s="532">
        <v>5938</v>
      </c>
      <c r="BL66" s="532">
        <v>47605</v>
      </c>
      <c r="BM66" s="532">
        <v>5210</v>
      </c>
      <c r="BN66" s="532">
        <f t="shared" si="27"/>
        <v>83229</v>
      </c>
      <c r="BO66" s="532">
        <v>81170</v>
      </c>
      <c r="BP66" s="532">
        <v>0</v>
      </c>
      <c r="BQ66" s="532"/>
      <c r="BR66" s="532">
        <v>7918</v>
      </c>
      <c r="BS66" s="532">
        <v>56193</v>
      </c>
      <c r="BT66" s="532">
        <f t="shared" si="28"/>
        <v>145281</v>
      </c>
      <c r="BU66" s="532"/>
      <c r="BV66" s="532"/>
      <c r="BW66" s="532">
        <f t="shared" si="29"/>
        <v>0</v>
      </c>
      <c r="BX66" s="532">
        <v>0</v>
      </c>
      <c r="BY66" s="532">
        <f t="shared" si="30"/>
        <v>990212.76</v>
      </c>
      <c r="BZ66" s="543">
        <f t="shared" si="31"/>
        <v>1980425.52</v>
      </c>
      <c r="CA66" s="441">
        <f t="shared" si="32"/>
        <v>636908.76</v>
      </c>
      <c r="CC66" s="316">
        <v>-0.030000000027939677</v>
      </c>
      <c r="DW66" s="483"/>
      <c r="DX66" s="442">
        <f>'Table 2'!AS65</f>
      </c>
      <c r="DY66" s="442">
        <f>'Table 2'!AT65</f>
      </c>
      <c r="DZ66" s="442">
        <f>'Table 2'!AU65</f>
      </c>
      <c r="EA66" s="442">
        <f>'Table 2'!AV65</f>
      </c>
      <c r="EB66" s="546"/>
      <c r="EC66" s="442">
        <f>'Table 2'!AX65</f>
      </c>
      <c r="ED66" s="442">
        <f>'Table 2'!AY65</f>
      </c>
      <c r="EE66" s="442">
        <f>'Table 2'!AZ65</f>
      </c>
      <c r="EF66" s="442">
        <f>'Table 2'!BA65</f>
      </c>
      <c r="EG66" s="442">
        <f>'Table 2'!BB65</f>
      </c>
      <c r="EH66" s="442">
        <f>'Table 2'!BC65</f>
      </c>
      <c r="EI66" s="442">
        <f>'Table 2'!BD65</f>
      </c>
      <c r="EJ66" s="442">
        <f>'Table 2'!BE65</f>
      </c>
      <c r="EK66" s="442">
        <f>'Table 2'!BF65</f>
      </c>
      <c r="EL66" s="442">
        <f>'Table 2'!BG65</f>
      </c>
      <c r="EM66" s="442">
        <f>'Table 2'!BH65</f>
      </c>
      <c r="EN66" s="546"/>
      <c r="EO66" s="434">
        <f t="shared" si="33"/>
        <v>0</v>
      </c>
    </row>
    <row r="67" spans="2:145" ht="12.75">
      <c r="B67" s="531">
        <v>37</v>
      </c>
      <c r="C67" s="531" t="s">
        <v>555</v>
      </c>
      <c r="D67" s="531">
        <v>3010</v>
      </c>
      <c r="E67" s="532"/>
      <c r="F67" s="532">
        <v>7.5</v>
      </c>
      <c r="G67" s="532"/>
      <c r="H67" s="532"/>
      <c r="I67" s="532">
        <v>18</v>
      </c>
      <c r="J67" s="532"/>
      <c r="K67" s="532">
        <v>20</v>
      </c>
      <c r="L67" s="532">
        <v>25</v>
      </c>
      <c r="M67" s="532"/>
      <c r="N67" s="532">
        <v>28</v>
      </c>
      <c r="O67" s="532">
        <v>25</v>
      </c>
      <c r="P67" s="532">
        <v>19</v>
      </c>
      <c r="Q67" s="532">
        <v>29</v>
      </c>
      <c r="R67" s="532"/>
      <c r="S67" s="532"/>
      <c r="T67" s="532"/>
      <c r="U67" s="532"/>
      <c r="V67" s="532"/>
      <c r="W67" s="532"/>
      <c r="X67" s="532"/>
      <c r="Y67" s="532"/>
      <c r="Z67" s="504"/>
      <c r="AA67" s="504"/>
      <c r="AB67" s="532">
        <f t="shared" si="19"/>
        <v>171.5</v>
      </c>
      <c r="AC67" s="532">
        <f t="shared" si="20"/>
        <v>369501.45000000007</v>
      </c>
      <c r="AD67" s="532">
        <v>27416</v>
      </c>
      <c r="AE67" s="532"/>
      <c r="AF67" s="532">
        <v>24780</v>
      </c>
      <c r="AG67" s="532"/>
      <c r="AH67" s="561"/>
      <c r="AI67" s="532"/>
      <c r="AJ67" s="532">
        <f t="shared" si="21"/>
        <v>52196</v>
      </c>
      <c r="AK67" s="539"/>
      <c r="AL67" s="540"/>
      <c r="AM67" s="562"/>
      <c r="AN67" s="562"/>
      <c r="AO67" s="542">
        <f t="shared" si="22"/>
        <v>0</v>
      </c>
      <c r="AP67" s="532">
        <v>18496</v>
      </c>
      <c r="AQ67" s="532">
        <v>10468</v>
      </c>
      <c r="AR67" s="532">
        <v>10064</v>
      </c>
      <c r="AS67" s="532"/>
      <c r="AT67" s="532">
        <v>0</v>
      </c>
      <c r="AU67" s="532">
        <f t="shared" si="23"/>
        <v>39028</v>
      </c>
      <c r="AV67" s="532">
        <v>4763</v>
      </c>
      <c r="AW67" s="532">
        <f t="shared" si="18"/>
        <v>3265</v>
      </c>
      <c r="AX67" s="532">
        <f t="shared" si="24"/>
        <v>8028</v>
      </c>
      <c r="AY67" s="532">
        <v>7227</v>
      </c>
      <c r="AZ67" s="532">
        <v>1740</v>
      </c>
      <c r="BA67" s="532">
        <v>1650</v>
      </c>
      <c r="BB67" s="532"/>
      <c r="BC67" s="532">
        <f t="shared" si="25"/>
        <v>10617</v>
      </c>
      <c r="BD67" s="532">
        <v>122</v>
      </c>
      <c r="BE67" s="532">
        <v>0</v>
      </c>
      <c r="BF67" s="532">
        <v>0</v>
      </c>
      <c r="BG67" s="532">
        <v>2588</v>
      </c>
      <c r="BH67" s="532">
        <v>2532</v>
      </c>
      <c r="BI67" s="532">
        <f t="shared" si="26"/>
        <v>5242</v>
      </c>
      <c r="BJ67" s="532">
        <v>8453</v>
      </c>
      <c r="BK67" s="532">
        <v>841</v>
      </c>
      <c r="BL67" s="532">
        <v>26876</v>
      </c>
      <c r="BM67" s="532">
        <v>2561</v>
      </c>
      <c r="BN67" s="532">
        <f t="shared" si="27"/>
        <v>38731</v>
      </c>
      <c r="BO67" s="532">
        <v>81170</v>
      </c>
      <c r="BP67" s="532">
        <v>34563</v>
      </c>
      <c r="BQ67" s="532"/>
      <c r="BR67" s="532">
        <v>4470</v>
      </c>
      <c r="BS67" s="532">
        <v>0</v>
      </c>
      <c r="BT67" s="532">
        <f t="shared" si="28"/>
        <v>120203</v>
      </c>
      <c r="BU67" s="532"/>
      <c r="BV67" s="532"/>
      <c r="BW67" s="532">
        <f t="shared" si="29"/>
        <v>0</v>
      </c>
      <c r="BX67" s="532">
        <v>0</v>
      </c>
      <c r="BY67" s="532">
        <f t="shared" si="30"/>
        <v>643546.4500000001</v>
      </c>
      <c r="BZ67" s="543">
        <f t="shared" si="31"/>
        <v>1287092.9000000001</v>
      </c>
      <c r="CA67" s="441">
        <f t="shared" si="32"/>
        <v>369501.45000000007</v>
      </c>
      <c r="CC67" s="316">
        <v>-0.12000000011175871</v>
      </c>
      <c r="DW67" s="483"/>
      <c r="DX67" s="442">
        <f>'Table 2'!AS66</f>
      </c>
      <c r="DY67" s="442">
        <f>'Table 2'!AT66</f>
      </c>
      <c r="DZ67" s="442">
        <f>'Table 2'!AU66</f>
      </c>
      <c r="EA67" s="442">
        <f>'Table 2'!AV66</f>
      </c>
      <c r="EB67" s="546"/>
      <c r="EC67" s="442">
        <f>'Table 2'!AX66</f>
      </c>
      <c r="ED67" s="442">
        <f>'Table 2'!AY66</f>
      </c>
      <c r="EE67" s="442">
        <f>'Table 2'!AZ66</f>
      </c>
      <c r="EF67" s="442">
        <f>'Table 2'!BA66</f>
      </c>
      <c r="EG67" s="442">
        <f>'Table 2'!BB66</f>
      </c>
      <c r="EH67" s="442">
        <f>'Table 2'!BC66</f>
      </c>
      <c r="EI67" s="442">
        <f>'Table 2'!BD66</f>
      </c>
      <c r="EJ67" s="442">
        <f>'Table 2'!BE66</f>
      </c>
      <c r="EK67" s="442">
        <f>'Table 2'!BF66</f>
      </c>
      <c r="EL67" s="442">
        <f>'Table 2'!BG66</f>
      </c>
      <c r="EM67" s="442">
        <f>'Table 2'!BH66</f>
      </c>
      <c r="EN67" s="546"/>
      <c r="EO67" s="434">
        <f t="shared" si="33"/>
        <v>0</v>
      </c>
    </row>
    <row r="68" spans="2:145" ht="12.75">
      <c r="B68" s="531">
        <v>4</v>
      </c>
      <c r="C68" s="531" t="s">
        <v>556</v>
      </c>
      <c r="D68" s="531">
        <v>3011</v>
      </c>
      <c r="E68" s="532"/>
      <c r="F68" s="532">
        <v>14</v>
      </c>
      <c r="G68" s="532"/>
      <c r="H68" s="532"/>
      <c r="I68" s="532">
        <v>57</v>
      </c>
      <c r="J68" s="532"/>
      <c r="K68" s="532">
        <v>41</v>
      </c>
      <c r="L68" s="532">
        <v>50</v>
      </c>
      <c r="M68" s="532"/>
      <c r="N68" s="532">
        <v>48</v>
      </c>
      <c r="O68" s="532">
        <v>48</v>
      </c>
      <c r="P68" s="532">
        <v>53</v>
      </c>
      <c r="Q68" s="532">
        <v>63</v>
      </c>
      <c r="R68" s="532"/>
      <c r="S68" s="532"/>
      <c r="T68" s="532"/>
      <c r="U68" s="532"/>
      <c r="V68" s="532"/>
      <c r="W68" s="532"/>
      <c r="X68" s="532"/>
      <c r="Y68" s="532"/>
      <c r="Z68" s="504"/>
      <c r="AA68" s="504"/>
      <c r="AB68" s="532">
        <f t="shared" si="19"/>
        <v>374</v>
      </c>
      <c r="AC68" s="532">
        <f t="shared" si="20"/>
        <v>820386.73</v>
      </c>
      <c r="AD68" s="532">
        <v>54834</v>
      </c>
      <c r="AE68" s="532"/>
      <c r="AF68" s="532">
        <v>23600</v>
      </c>
      <c r="AG68" s="532"/>
      <c r="AH68" s="561"/>
      <c r="AI68" s="532"/>
      <c r="AJ68" s="532">
        <f t="shared" si="21"/>
        <v>78434</v>
      </c>
      <c r="AK68" s="539"/>
      <c r="AL68" s="540"/>
      <c r="AM68" s="562"/>
      <c r="AN68" s="562"/>
      <c r="AO68" s="542">
        <f t="shared" si="22"/>
        <v>0</v>
      </c>
      <c r="AP68" s="532">
        <v>14144</v>
      </c>
      <c r="AQ68" s="532">
        <v>12410</v>
      </c>
      <c r="AR68" s="532">
        <v>11931</v>
      </c>
      <c r="AS68" s="532"/>
      <c r="AT68" s="532">
        <v>0</v>
      </c>
      <c r="AU68" s="532">
        <f t="shared" si="23"/>
        <v>38485</v>
      </c>
      <c r="AV68" s="532">
        <v>0</v>
      </c>
      <c r="AW68" s="532">
        <f t="shared" si="18"/>
        <v>3265</v>
      </c>
      <c r="AX68" s="532">
        <f t="shared" si="24"/>
        <v>3265</v>
      </c>
      <c r="AY68" s="532">
        <v>8567</v>
      </c>
      <c r="AZ68" s="532">
        <v>1606</v>
      </c>
      <c r="BA68" s="532">
        <v>2039</v>
      </c>
      <c r="BB68" s="532"/>
      <c r="BC68" s="532">
        <f t="shared" si="25"/>
        <v>12212</v>
      </c>
      <c r="BD68" s="532">
        <v>219</v>
      </c>
      <c r="BE68" s="532">
        <v>0</v>
      </c>
      <c r="BF68" s="532">
        <v>0</v>
      </c>
      <c r="BG68" s="532">
        <v>2389</v>
      </c>
      <c r="BH68" s="532">
        <v>3130</v>
      </c>
      <c r="BI68" s="532">
        <f t="shared" si="26"/>
        <v>5738</v>
      </c>
      <c r="BJ68" s="532">
        <v>23214</v>
      </c>
      <c r="BK68" s="532">
        <v>1115</v>
      </c>
      <c r="BL68" s="532">
        <v>43074</v>
      </c>
      <c r="BM68" s="532">
        <v>4911</v>
      </c>
      <c r="BN68" s="532">
        <f t="shared" si="27"/>
        <v>72314</v>
      </c>
      <c r="BO68" s="532">
        <v>81170</v>
      </c>
      <c r="BP68" s="532">
        <v>0</v>
      </c>
      <c r="BQ68" s="532"/>
      <c r="BR68" s="532">
        <v>7164</v>
      </c>
      <c r="BS68" s="532">
        <v>0</v>
      </c>
      <c r="BT68" s="532">
        <f t="shared" si="28"/>
        <v>88334</v>
      </c>
      <c r="BU68" s="532"/>
      <c r="BV68" s="532"/>
      <c r="BW68" s="532">
        <f t="shared" si="29"/>
        <v>0</v>
      </c>
      <c r="BX68" s="532">
        <v>0</v>
      </c>
      <c r="BY68" s="532">
        <f t="shared" si="30"/>
        <v>1119168.73</v>
      </c>
      <c r="BZ68" s="543">
        <f t="shared" si="31"/>
        <v>2238337.46</v>
      </c>
      <c r="CA68" s="441">
        <f t="shared" si="32"/>
        <v>820386.73</v>
      </c>
      <c r="CC68" s="316">
        <v>-0.4199999999254942</v>
      </c>
      <c r="DW68" s="483"/>
      <c r="DX68" s="442">
        <f>'Table 2'!AS67</f>
      </c>
      <c r="DY68" s="442">
        <f>'Table 2'!AT67</f>
      </c>
      <c r="DZ68" s="442">
        <f>'Table 2'!AU67</f>
      </c>
      <c r="EA68" s="442">
        <f>'Table 2'!AV67</f>
      </c>
      <c r="EB68" s="546"/>
      <c r="EC68" s="442">
        <f>'Table 2'!AX67</f>
      </c>
      <c r="ED68" s="442">
        <f>'Table 2'!AY67</f>
      </c>
      <c r="EE68" s="442">
        <f>'Table 2'!AZ67</f>
      </c>
      <c r="EF68" s="442">
        <f>'Table 2'!BA67</f>
      </c>
      <c r="EG68" s="442">
        <f>'Table 2'!BB67</f>
      </c>
      <c r="EH68" s="442">
        <f>'Table 2'!BC67</f>
      </c>
      <c r="EI68" s="442">
        <f>'Table 2'!BD67</f>
      </c>
      <c r="EJ68" s="442">
        <f>'Table 2'!BE67</f>
      </c>
      <c r="EK68" s="442">
        <f>'Table 2'!BF67</f>
      </c>
      <c r="EL68" s="442">
        <f>'Table 2'!BG67</f>
      </c>
      <c r="EM68" s="442">
        <f>'Table 2'!BH67</f>
      </c>
      <c r="EN68" s="546"/>
      <c r="EO68" s="434">
        <f t="shared" si="33"/>
        <v>0</v>
      </c>
    </row>
    <row r="69" spans="2:145" ht="12.75">
      <c r="B69" s="531">
        <v>32</v>
      </c>
      <c r="C69" s="531" t="s">
        <v>557</v>
      </c>
      <c r="D69" s="531">
        <v>3012</v>
      </c>
      <c r="E69" s="532"/>
      <c r="F69" s="532">
        <v>30</v>
      </c>
      <c r="G69" s="532"/>
      <c r="H69" s="532"/>
      <c r="I69" s="532">
        <v>60</v>
      </c>
      <c r="J69" s="532"/>
      <c r="K69" s="532">
        <v>60</v>
      </c>
      <c r="L69" s="532">
        <v>60</v>
      </c>
      <c r="M69" s="532"/>
      <c r="N69" s="532">
        <v>51</v>
      </c>
      <c r="O69" s="532">
        <v>55</v>
      </c>
      <c r="P69" s="532">
        <v>58</v>
      </c>
      <c r="Q69" s="532">
        <v>60</v>
      </c>
      <c r="R69" s="532"/>
      <c r="S69" s="532"/>
      <c r="T69" s="532"/>
      <c r="U69" s="532"/>
      <c r="V69" s="532"/>
      <c r="W69" s="532"/>
      <c r="X69" s="532"/>
      <c r="Y69" s="532"/>
      <c r="Z69" s="504"/>
      <c r="AA69" s="504"/>
      <c r="AB69" s="532">
        <f t="shared" si="19"/>
        <v>434</v>
      </c>
      <c r="AC69" s="532">
        <f t="shared" si="20"/>
        <v>921334.6400000001</v>
      </c>
      <c r="AD69" s="532">
        <v>74268</v>
      </c>
      <c r="AE69" s="532"/>
      <c r="AF69" s="532">
        <v>0</v>
      </c>
      <c r="AG69" s="532"/>
      <c r="AH69" s="561"/>
      <c r="AI69" s="532"/>
      <c r="AJ69" s="532">
        <f t="shared" si="21"/>
        <v>74268</v>
      </c>
      <c r="AK69" s="539"/>
      <c r="AL69" s="540"/>
      <c r="AM69" s="562"/>
      <c r="AN69" s="562"/>
      <c r="AO69" s="542">
        <f t="shared" si="22"/>
        <v>0</v>
      </c>
      <c r="AP69" s="532">
        <v>14144</v>
      </c>
      <c r="AQ69" s="532">
        <v>6776</v>
      </c>
      <c r="AR69" s="532">
        <v>6513</v>
      </c>
      <c r="AS69" s="532"/>
      <c r="AT69" s="532">
        <v>0</v>
      </c>
      <c r="AU69" s="532">
        <f t="shared" si="23"/>
        <v>27433</v>
      </c>
      <c r="AV69" s="532">
        <v>4103</v>
      </c>
      <c r="AW69" s="532">
        <f t="shared" si="18"/>
        <v>3265</v>
      </c>
      <c r="AX69" s="532">
        <f t="shared" si="24"/>
        <v>7368</v>
      </c>
      <c r="AY69" s="532">
        <v>4678</v>
      </c>
      <c r="AZ69" s="532">
        <v>1071</v>
      </c>
      <c r="BA69" s="532">
        <v>2194</v>
      </c>
      <c r="BB69" s="532"/>
      <c r="BC69" s="532">
        <f t="shared" si="25"/>
        <v>7943</v>
      </c>
      <c r="BD69" s="532">
        <v>146</v>
      </c>
      <c r="BE69" s="532">
        <v>0</v>
      </c>
      <c r="BF69" s="532">
        <v>0</v>
      </c>
      <c r="BG69" s="532">
        <v>1593</v>
      </c>
      <c r="BH69" s="532">
        <v>3367</v>
      </c>
      <c r="BI69" s="532">
        <f t="shared" si="26"/>
        <v>5106</v>
      </c>
      <c r="BJ69" s="532">
        <v>18925</v>
      </c>
      <c r="BK69" s="532">
        <v>2288</v>
      </c>
      <c r="BL69" s="532">
        <v>61936</v>
      </c>
      <c r="BM69" s="532">
        <v>6134</v>
      </c>
      <c r="BN69" s="532">
        <f t="shared" si="27"/>
        <v>89283</v>
      </c>
      <c r="BO69" s="532">
        <v>81170</v>
      </c>
      <c r="BP69" s="532">
        <v>0</v>
      </c>
      <c r="BQ69" s="532"/>
      <c r="BR69" s="532">
        <v>10301</v>
      </c>
      <c r="BS69" s="532">
        <v>0</v>
      </c>
      <c r="BT69" s="532">
        <f t="shared" si="28"/>
        <v>91471</v>
      </c>
      <c r="BU69" s="532"/>
      <c r="BV69" s="532"/>
      <c r="BW69" s="532">
        <f t="shared" si="29"/>
        <v>0</v>
      </c>
      <c r="BX69" s="532">
        <v>0</v>
      </c>
      <c r="BY69" s="532">
        <f t="shared" si="30"/>
        <v>1224206.6400000001</v>
      </c>
      <c r="BZ69" s="543">
        <f t="shared" si="31"/>
        <v>2448413.2800000003</v>
      </c>
      <c r="CA69" s="441">
        <f t="shared" si="32"/>
        <v>921334.6400000001</v>
      </c>
      <c r="CC69" s="316">
        <v>0.030000000027939677</v>
      </c>
      <c r="DW69" s="483"/>
      <c r="DX69" s="442">
        <f>'Table 2'!AS68</f>
      </c>
      <c r="DY69" s="442">
        <f>'Table 2'!AT68</f>
      </c>
      <c r="DZ69" s="442">
        <f>'Table 2'!AU68</f>
      </c>
      <c r="EA69" s="442">
        <f>'Table 2'!AV68</f>
      </c>
      <c r="EB69" s="546"/>
      <c r="EC69" s="442">
        <f>'Table 2'!AX68</f>
      </c>
      <c r="ED69" s="442">
        <f>'Table 2'!AY68</f>
      </c>
      <c r="EE69" s="442">
        <f>'Table 2'!AZ68</f>
      </c>
      <c r="EF69" s="442">
        <f>'Table 2'!BA68</f>
      </c>
      <c r="EG69" s="442">
        <f>'Table 2'!BB68</f>
      </c>
      <c r="EH69" s="442">
        <f>'Table 2'!BC68</f>
      </c>
      <c r="EI69" s="442">
        <f>'Table 2'!BD68</f>
      </c>
      <c r="EJ69" s="442">
        <f>'Table 2'!BE68</f>
      </c>
      <c r="EK69" s="442">
        <f>'Table 2'!BF68</f>
      </c>
      <c r="EL69" s="442">
        <f>'Table 2'!BG68</f>
      </c>
      <c r="EM69" s="442">
        <f>'Table 2'!BH68</f>
      </c>
      <c r="EN69" s="546"/>
      <c r="EO69" s="434">
        <f t="shared" si="33"/>
        <v>0</v>
      </c>
    </row>
    <row r="70" spans="2:145" ht="12.75">
      <c r="B70" s="531">
        <v>55</v>
      </c>
      <c r="C70" s="531" t="s">
        <v>558</v>
      </c>
      <c r="D70" s="531">
        <v>3300</v>
      </c>
      <c r="E70" s="532"/>
      <c r="F70" s="532">
        <v>15</v>
      </c>
      <c r="G70" s="532"/>
      <c r="H70" s="532"/>
      <c r="I70" s="532">
        <v>30</v>
      </c>
      <c r="J70" s="532"/>
      <c r="K70" s="532">
        <v>30</v>
      </c>
      <c r="L70" s="532">
        <v>30</v>
      </c>
      <c r="M70" s="532"/>
      <c r="N70" s="532">
        <v>30</v>
      </c>
      <c r="O70" s="532">
        <v>30</v>
      </c>
      <c r="P70" s="532">
        <v>30</v>
      </c>
      <c r="Q70" s="532">
        <v>30</v>
      </c>
      <c r="R70" s="532"/>
      <c r="S70" s="532"/>
      <c r="T70" s="532"/>
      <c r="U70" s="532"/>
      <c r="V70" s="532"/>
      <c r="W70" s="532"/>
      <c r="X70" s="532"/>
      <c r="Y70" s="532"/>
      <c r="Z70" s="504"/>
      <c r="AA70" s="504"/>
      <c r="AB70" s="532">
        <f t="shared" si="19"/>
        <v>225</v>
      </c>
      <c r="AC70" s="532">
        <f t="shared" si="20"/>
        <v>478194.29999999993</v>
      </c>
      <c r="AD70" s="532">
        <v>37134</v>
      </c>
      <c r="AE70" s="532"/>
      <c r="AF70" s="532">
        <v>0</v>
      </c>
      <c r="AG70" s="532"/>
      <c r="AH70" s="561"/>
      <c r="AI70" s="532"/>
      <c r="AJ70" s="532">
        <f t="shared" si="21"/>
        <v>37134</v>
      </c>
      <c r="AK70" s="539"/>
      <c r="AL70" s="540"/>
      <c r="AM70" s="562"/>
      <c r="AN70" s="562"/>
      <c r="AO70" s="542">
        <f t="shared" si="22"/>
        <v>0</v>
      </c>
      <c r="AP70" s="532">
        <v>6528</v>
      </c>
      <c r="AQ70" s="532">
        <v>8127</v>
      </c>
      <c r="AR70" s="532">
        <v>7813</v>
      </c>
      <c r="AS70" s="532"/>
      <c r="AT70" s="532">
        <v>0</v>
      </c>
      <c r="AU70" s="532">
        <f t="shared" si="23"/>
        <v>22468</v>
      </c>
      <c r="AV70" s="532">
        <v>0</v>
      </c>
      <c r="AW70" s="532">
        <f t="shared" si="18"/>
        <v>3265</v>
      </c>
      <c r="AX70" s="532">
        <f t="shared" si="24"/>
        <v>3265</v>
      </c>
      <c r="AY70" s="532">
        <v>5610</v>
      </c>
      <c r="AZ70" s="532">
        <v>1205</v>
      </c>
      <c r="BA70" s="532">
        <v>2315</v>
      </c>
      <c r="BB70" s="532"/>
      <c r="BC70" s="532">
        <f t="shared" si="25"/>
        <v>9130</v>
      </c>
      <c r="BD70" s="532">
        <v>219</v>
      </c>
      <c r="BE70" s="532">
        <v>0</v>
      </c>
      <c r="BF70" s="532">
        <v>0</v>
      </c>
      <c r="BG70" s="532">
        <v>1792</v>
      </c>
      <c r="BH70" s="532">
        <v>3553</v>
      </c>
      <c r="BI70" s="532">
        <f t="shared" si="26"/>
        <v>5564</v>
      </c>
      <c r="BJ70" s="532">
        <v>2750</v>
      </c>
      <c r="BK70" s="532">
        <v>1169</v>
      </c>
      <c r="BL70" s="532">
        <v>29708</v>
      </c>
      <c r="BM70" s="532">
        <v>3476</v>
      </c>
      <c r="BN70" s="532">
        <f t="shared" si="27"/>
        <v>37103</v>
      </c>
      <c r="BO70" s="532">
        <v>81170</v>
      </c>
      <c r="BP70" s="532">
        <v>19131</v>
      </c>
      <c r="BQ70" s="532"/>
      <c r="BR70" s="532">
        <v>4941</v>
      </c>
      <c r="BS70" s="532">
        <v>0</v>
      </c>
      <c r="BT70" s="532">
        <f t="shared" si="28"/>
        <v>105242</v>
      </c>
      <c r="BU70" s="532"/>
      <c r="BV70" s="532"/>
      <c r="BW70" s="532">
        <f t="shared" si="29"/>
        <v>0</v>
      </c>
      <c r="BX70" s="532">
        <v>0</v>
      </c>
      <c r="BY70" s="532">
        <f t="shared" si="30"/>
        <v>698100.2999999999</v>
      </c>
      <c r="BZ70" s="543">
        <f t="shared" si="31"/>
        <v>1396200.5999999999</v>
      </c>
      <c r="CA70" s="441">
        <f t="shared" si="32"/>
        <v>478194.29999999993</v>
      </c>
      <c r="CC70" s="316">
        <v>-0.39999999990686774</v>
      </c>
      <c r="DW70" s="483"/>
      <c r="DX70" s="442">
        <f>'Table 2'!AS69</f>
      </c>
      <c r="DY70" s="442">
        <f>'Table 2'!AT69</f>
      </c>
      <c r="DZ70" s="442">
        <f>'Table 2'!AU69</f>
      </c>
      <c r="EA70" s="442">
        <f>'Table 2'!AV69</f>
      </c>
      <c r="EB70" s="546"/>
      <c r="EC70" s="442">
        <f>'Table 2'!AX69</f>
      </c>
      <c r="ED70" s="442">
        <f>'Table 2'!AY69</f>
      </c>
      <c r="EE70" s="442">
        <f>'Table 2'!AZ69</f>
      </c>
      <c r="EF70" s="442">
        <f>'Table 2'!BA69</f>
      </c>
      <c r="EG70" s="442">
        <f>'Table 2'!BB69</f>
      </c>
      <c r="EH70" s="442">
        <f>'Table 2'!BC69</f>
      </c>
      <c r="EI70" s="442">
        <f>'Table 2'!BD69</f>
      </c>
      <c r="EJ70" s="442">
        <f>'Table 2'!BE69</f>
      </c>
      <c r="EK70" s="442">
        <f>'Table 2'!BF69</f>
      </c>
      <c r="EL70" s="442">
        <f>'Table 2'!BG69</f>
      </c>
      <c r="EM70" s="442">
        <f>'Table 2'!BH69</f>
      </c>
      <c r="EN70" s="546"/>
      <c r="EO70" s="434">
        <f t="shared" si="33"/>
        <v>0</v>
      </c>
    </row>
    <row r="71" spans="2:145" ht="12.75">
      <c r="B71" s="531">
        <v>46</v>
      </c>
      <c r="C71" s="531" t="s">
        <v>559</v>
      </c>
      <c r="D71" s="531">
        <v>3302</v>
      </c>
      <c r="E71" s="532"/>
      <c r="F71" s="532">
        <v>30</v>
      </c>
      <c r="G71" s="532"/>
      <c r="H71" s="532"/>
      <c r="I71" s="532">
        <v>75</v>
      </c>
      <c r="J71" s="532"/>
      <c r="K71" s="532">
        <v>75</v>
      </c>
      <c r="L71" s="532">
        <v>74</v>
      </c>
      <c r="M71" s="532"/>
      <c r="N71" s="532">
        <v>0</v>
      </c>
      <c r="O71" s="532">
        <v>0</v>
      </c>
      <c r="P71" s="532">
        <v>0</v>
      </c>
      <c r="Q71" s="532">
        <v>0</v>
      </c>
      <c r="R71" s="532"/>
      <c r="S71" s="532"/>
      <c r="T71" s="532"/>
      <c r="U71" s="532"/>
      <c r="V71" s="532"/>
      <c r="W71" s="532"/>
      <c r="X71" s="532"/>
      <c r="Y71" s="532"/>
      <c r="Z71" s="504"/>
      <c r="AA71" s="504"/>
      <c r="AB71" s="532">
        <f t="shared" si="19"/>
        <v>254</v>
      </c>
      <c r="AC71" s="532">
        <f t="shared" si="20"/>
        <v>542107.87</v>
      </c>
      <c r="AD71" s="532">
        <v>74268</v>
      </c>
      <c r="AE71" s="532"/>
      <c r="AF71" s="532">
        <v>17700</v>
      </c>
      <c r="AG71" s="532"/>
      <c r="AH71" s="561"/>
      <c r="AI71" s="532"/>
      <c r="AJ71" s="532">
        <f t="shared" si="21"/>
        <v>91968</v>
      </c>
      <c r="AK71" s="539"/>
      <c r="AL71" s="540"/>
      <c r="AM71" s="562"/>
      <c r="AN71" s="562"/>
      <c r="AO71" s="542">
        <f t="shared" si="22"/>
        <v>0</v>
      </c>
      <c r="AP71" s="532">
        <v>19584</v>
      </c>
      <c r="AQ71" s="532">
        <v>2879</v>
      </c>
      <c r="AR71" s="532">
        <v>2768</v>
      </c>
      <c r="AS71" s="532"/>
      <c r="AT71" s="532">
        <v>0</v>
      </c>
      <c r="AU71" s="532">
        <f t="shared" si="23"/>
        <v>25231</v>
      </c>
      <c r="AV71" s="532">
        <v>13440</v>
      </c>
      <c r="AW71" s="532">
        <f t="shared" si="18"/>
        <v>3265</v>
      </c>
      <c r="AX71" s="532">
        <f t="shared" si="24"/>
        <v>16705</v>
      </c>
      <c r="AY71" s="532">
        <v>1987</v>
      </c>
      <c r="AZ71" s="532">
        <v>402</v>
      </c>
      <c r="BA71" s="532">
        <v>1429</v>
      </c>
      <c r="BB71" s="532"/>
      <c r="BC71" s="532">
        <f t="shared" si="25"/>
        <v>3818</v>
      </c>
      <c r="BD71" s="532">
        <v>73</v>
      </c>
      <c r="BE71" s="532">
        <v>0</v>
      </c>
      <c r="BF71" s="532">
        <v>0</v>
      </c>
      <c r="BG71" s="532">
        <v>597</v>
      </c>
      <c r="BH71" s="532">
        <v>2193</v>
      </c>
      <c r="BI71" s="532">
        <f t="shared" si="26"/>
        <v>2863</v>
      </c>
      <c r="BJ71" s="532">
        <v>1918</v>
      </c>
      <c r="BK71" s="532">
        <v>1442</v>
      </c>
      <c r="BL71" s="532">
        <v>28604</v>
      </c>
      <c r="BM71" s="532">
        <v>1164</v>
      </c>
      <c r="BN71" s="532">
        <f t="shared" si="27"/>
        <v>33128</v>
      </c>
      <c r="BO71" s="532">
        <v>81170</v>
      </c>
      <c r="BP71" s="532">
        <v>0</v>
      </c>
      <c r="BQ71" s="532"/>
      <c r="BR71" s="532">
        <v>4757</v>
      </c>
      <c r="BS71" s="532">
        <v>0</v>
      </c>
      <c r="BT71" s="532">
        <f t="shared" si="28"/>
        <v>85927</v>
      </c>
      <c r="BU71" s="532"/>
      <c r="BV71" s="532"/>
      <c r="BW71" s="532">
        <f t="shared" si="29"/>
        <v>0</v>
      </c>
      <c r="BX71" s="532">
        <v>0</v>
      </c>
      <c r="BY71" s="532">
        <f t="shared" si="30"/>
        <v>801747.87</v>
      </c>
      <c r="BZ71" s="543">
        <f t="shared" si="31"/>
        <v>1603495.7400000002</v>
      </c>
      <c r="CA71" s="441">
        <f t="shared" si="32"/>
        <v>542107.87</v>
      </c>
      <c r="CC71" s="316">
        <v>-0.13000000012107193</v>
      </c>
      <c r="DW71" s="483"/>
      <c r="DX71" s="442">
        <f>'Table 2'!AS70</f>
      </c>
      <c r="DY71" s="442">
        <f>'Table 2'!AT70</f>
      </c>
      <c r="DZ71" s="442">
        <f>'Table 2'!AU70</f>
      </c>
      <c r="EA71" s="442">
        <f>'Table 2'!AV70</f>
      </c>
      <c r="EB71" s="546"/>
      <c r="EC71" s="442">
        <f>'Table 2'!AX70</f>
      </c>
      <c r="ED71" s="442">
        <f>'Table 2'!AY70</f>
      </c>
      <c r="EE71" s="442">
        <f>'Table 2'!AZ70</f>
      </c>
      <c r="EF71" s="442">
        <f>'Table 2'!BA70</f>
      </c>
      <c r="EG71" s="442">
        <f>'Table 2'!BB70</f>
      </c>
      <c r="EH71" s="442">
        <f>'Table 2'!BC70</f>
      </c>
      <c r="EI71" s="442">
        <f>'Table 2'!BD70</f>
      </c>
      <c r="EJ71" s="442">
        <f>'Table 2'!BE70</f>
      </c>
      <c r="EK71" s="442">
        <f>'Table 2'!BF70</f>
      </c>
      <c r="EL71" s="442">
        <f>'Table 2'!BG70</f>
      </c>
      <c r="EM71" s="442">
        <f>'Table 2'!BH70</f>
      </c>
      <c r="EN71" s="546"/>
      <c r="EO71" s="434">
        <f t="shared" si="33"/>
        <v>0</v>
      </c>
    </row>
    <row r="72" spans="2:145" ht="12.75">
      <c r="B72" s="531">
        <v>53</v>
      </c>
      <c r="C72" s="531" t="s">
        <v>560</v>
      </c>
      <c r="D72" s="531">
        <v>3304</v>
      </c>
      <c r="E72" s="532"/>
      <c r="F72" s="532">
        <v>0</v>
      </c>
      <c r="G72" s="532"/>
      <c r="H72" s="532"/>
      <c r="I72" s="532">
        <v>0</v>
      </c>
      <c r="J72" s="532"/>
      <c r="K72" s="532">
        <v>0</v>
      </c>
      <c r="L72" s="532">
        <v>0</v>
      </c>
      <c r="M72" s="532"/>
      <c r="N72" s="532">
        <v>5</v>
      </c>
      <c r="O72" s="532">
        <v>10</v>
      </c>
      <c r="P72" s="532">
        <v>6</v>
      </c>
      <c r="Q72" s="532">
        <v>12</v>
      </c>
      <c r="R72" s="532"/>
      <c r="S72" s="532"/>
      <c r="T72" s="532"/>
      <c r="U72" s="532"/>
      <c r="V72" s="532"/>
      <c r="W72" s="532"/>
      <c r="X72" s="532"/>
      <c r="Y72" s="532"/>
      <c r="Z72" s="504"/>
      <c r="AA72" s="504"/>
      <c r="AB72" s="532">
        <f t="shared" si="19"/>
        <v>33</v>
      </c>
      <c r="AC72" s="532">
        <f t="shared" si="20"/>
        <v>71230.61000000002</v>
      </c>
      <c r="AD72" s="532">
        <v>0</v>
      </c>
      <c r="AE72" s="532"/>
      <c r="AF72" s="532">
        <v>0</v>
      </c>
      <c r="AG72" s="532"/>
      <c r="AH72" s="561"/>
      <c r="AI72" s="532"/>
      <c r="AJ72" s="532">
        <f t="shared" si="21"/>
        <v>0</v>
      </c>
      <c r="AK72" s="539"/>
      <c r="AL72" s="540"/>
      <c r="AM72" s="562"/>
      <c r="AN72" s="562"/>
      <c r="AO72" s="542">
        <f t="shared" si="22"/>
        <v>0</v>
      </c>
      <c r="AP72" s="532">
        <v>0</v>
      </c>
      <c r="AQ72" s="532">
        <v>3343</v>
      </c>
      <c r="AR72" s="532">
        <v>3214</v>
      </c>
      <c r="AS72" s="532"/>
      <c r="AT72" s="532">
        <v>0</v>
      </c>
      <c r="AU72" s="532">
        <f t="shared" si="23"/>
        <v>6557</v>
      </c>
      <c r="AV72" s="532">
        <v>0</v>
      </c>
      <c r="AW72" s="532">
        <f t="shared" si="18"/>
        <v>3265</v>
      </c>
      <c r="AX72" s="532">
        <f t="shared" si="24"/>
        <v>3265</v>
      </c>
      <c r="AY72" s="532">
        <v>2308</v>
      </c>
      <c r="AZ72" s="532">
        <v>1071</v>
      </c>
      <c r="BA72" s="532">
        <v>550</v>
      </c>
      <c r="BB72" s="532"/>
      <c r="BC72" s="532">
        <f t="shared" si="25"/>
        <v>3929</v>
      </c>
      <c r="BD72" s="532">
        <v>122</v>
      </c>
      <c r="BE72" s="532">
        <v>0</v>
      </c>
      <c r="BF72" s="532">
        <v>0</v>
      </c>
      <c r="BG72" s="532">
        <v>1593</v>
      </c>
      <c r="BH72" s="532">
        <v>844</v>
      </c>
      <c r="BI72" s="532">
        <f t="shared" si="26"/>
        <v>2559</v>
      </c>
      <c r="BJ72" s="532">
        <v>1943</v>
      </c>
      <c r="BK72" s="532">
        <v>1405</v>
      </c>
      <c r="BL72" s="532">
        <v>23195</v>
      </c>
      <c r="BM72" s="532">
        <v>2707</v>
      </c>
      <c r="BN72" s="532">
        <f t="shared" si="27"/>
        <v>29250</v>
      </c>
      <c r="BO72" s="532">
        <v>80468</v>
      </c>
      <c r="BP72" s="532">
        <v>19963</v>
      </c>
      <c r="BQ72" s="532"/>
      <c r="BR72" s="532">
        <v>3857</v>
      </c>
      <c r="BS72" s="532">
        <v>0</v>
      </c>
      <c r="BT72" s="532">
        <f t="shared" si="28"/>
        <v>104288</v>
      </c>
      <c r="BU72" s="532"/>
      <c r="BV72" s="532"/>
      <c r="BW72" s="532">
        <f t="shared" si="29"/>
        <v>0</v>
      </c>
      <c r="BX72" s="532">
        <v>0</v>
      </c>
      <c r="BY72" s="532">
        <f t="shared" si="30"/>
        <v>221078.61000000002</v>
      </c>
      <c r="BZ72" s="543">
        <f t="shared" si="31"/>
        <v>442157.22</v>
      </c>
      <c r="CA72" s="441">
        <f t="shared" si="32"/>
        <v>71230.61000000002</v>
      </c>
      <c r="CC72" s="316">
        <v>0.09000000008381903</v>
      </c>
      <c r="DW72" s="483"/>
      <c r="DX72" s="442">
        <f>'Table 2'!AS71</f>
      </c>
      <c r="DY72" s="442">
        <f>'Table 2'!AT71</f>
      </c>
      <c r="DZ72" s="442">
        <f>'Table 2'!AU71</f>
      </c>
      <c r="EA72" s="442">
        <f>'Table 2'!AV71</f>
      </c>
      <c r="EB72" s="546"/>
      <c r="EC72" s="442">
        <f>'Table 2'!AX71</f>
      </c>
      <c r="ED72" s="442">
        <f>'Table 2'!AY71</f>
      </c>
      <c r="EE72" s="442">
        <f>'Table 2'!AZ71</f>
      </c>
      <c r="EF72" s="442">
        <f>'Table 2'!BA71</f>
      </c>
      <c r="EG72" s="442">
        <f>'Table 2'!BB71</f>
      </c>
      <c r="EH72" s="442">
        <f>'Table 2'!BC71</f>
      </c>
      <c r="EI72" s="442">
        <f>'Table 2'!BD71</f>
      </c>
      <c r="EJ72" s="442">
        <f>'Table 2'!BE71</f>
      </c>
      <c r="EK72" s="442">
        <f>'Table 2'!BF71</f>
      </c>
      <c r="EL72" s="442">
        <f>'Table 2'!BG71</f>
      </c>
      <c r="EM72" s="442">
        <f>'Table 2'!BH71</f>
      </c>
      <c r="EN72" s="546"/>
      <c r="EO72" s="434">
        <f t="shared" si="33"/>
        <v>0</v>
      </c>
    </row>
    <row r="73" spans="2:145" ht="12.75">
      <c r="B73" s="531">
        <v>47</v>
      </c>
      <c r="C73" s="531" t="s">
        <v>561</v>
      </c>
      <c r="D73" s="531">
        <v>3305</v>
      </c>
      <c r="E73" s="532"/>
      <c r="F73" s="532">
        <v>0</v>
      </c>
      <c r="G73" s="532"/>
      <c r="H73" s="532"/>
      <c r="I73" s="532">
        <v>0</v>
      </c>
      <c r="J73" s="532"/>
      <c r="K73" s="532">
        <v>0</v>
      </c>
      <c r="L73" s="532">
        <v>0</v>
      </c>
      <c r="M73" s="532"/>
      <c r="N73" s="532">
        <v>70</v>
      </c>
      <c r="O73" s="532">
        <v>69</v>
      </c>
      <c r="P73" s="532">
        <v>68</v>
      </c>
      <c r="Q73" s="532">
        <v>70</v>
      </c>
      <c r="R73" s="532"/>
      <c r="S73" s="532"/>
      <c r="T73" s="532"/>
      <c r="U73" s="532"/>
      <c r="V73" s="532"/>
      <c r="W73" s="532"/>
      <c r="X73" s="532"/>
      <c r="Y73" s="532"/>
      <c r="Z73" s="504"/>
      <c r="AA73" s="504"/>
      <c r="AB73" s="532">
        <f t="shared" si="19"/>
        <v>277</v>
      </c>
      <c r="AC73" s="532">
        <f t="shared" si="20"/>
        <v>600113.0900000001</v>
      </c>
      <c r="AD73" s="532">
        <v>0</v>
      </c>
      <c r="AE73" s="532"/>
      <c r="AF73" s="532">
        <v>0</v>
      </c>
      <c r="AG73" s="532"/>
      <c r="AH73" s="561"/>
      <c r="AI73" s="532"/>
      <c r="AJ73" s="532">
        <f t="shared" si="21"/>
        <v>0</v>
      </c>
      <c r="AK73" s="539"/>
      <c r="AL73" s="540"/>
      <c r="AM73" s="562"/>
      <c r="AN73" s="562"/>
      <c r="AO73" s="542">
        <f t="shared" si="22"/>
        <v>0</v>
      </c>
      <c r="AP73" s="532">
        <v>20672</v>
      </c>
      <c r="AQ73" s="532">
        <v>5294</v>
      </c>
      <c r="AR73" s="532">
        <v>5089</v>
      </c>
      <c r="AS73" s="532"/>
      <c r="AT73" s="532">
        <v>0</v>
      </c>
      <c r="AU73" s="532">
        <f t="shared" si="23"/>
        <v>31055</v>
      </c>
      <c r="AV73" s="532">
        <v>12113</v>
      </c>
      <c r="AW73" s="532">
        <f t="shared" si="18"/>
        <v>3265</v>
      </c>
      <c r="AX73" s="532">
        <f t="shared" si="24"/>
        <v>15378</v>
      </c>
      <c r="AY73" s="532">
        <v>3655</v>
      </c>
      <c r="AZ73" s="532">
        <v>669</v>
      </c>
      <c r="BA73" s="532">
        <v>1603</v>
      </c>
      <c r="BB73" s="532"/>
      <c r="BC73" s="532">
        <f t="shared" si="25"/>
        <v>5927</v>
      </c>
      <c r="BD73" s="532">
        <v>98</v>
      </c>
      <c r="BE73" s="532">
        <v>0</v>
      </c>
      <c r="BF73" s="532">
        <v>0</v>
      </c>
      <c r="BG73" s="532">
        <v>996</v>
      </c>
      <c r="BH73" s="532">
        <v>2461</v>
      </c>
      <c r="BI73" s="532">
        <f t="shared" si="26"/>
        <v>3555</v>
      </c>
      <c r="BJ73" s="532">
        <v>2675</v>
      </c>
      <c r="BK73" s="532">
        <v>0</v>
      </c>
      <c r="BL73" s="532">
        <v>37383</v>
      </c>
      <c r="BM73" s="532">
        <v>4100</v>
      </c>
      <c r="BN73" s="532">
        <f t="shared" si="27"/>
        <v>44158</v>
      </c>
      <c r="BO73" s="532">
        <v>80468</v>
      </c>
      <c r="BP73" s="532">
        <v>0</v>
      </c>
      <c r="BQ73" s="532"/>
      <c r="BR73" s="532">
        <v>6217</v>
      </c>
      <c r="BS73" s="532">
        <v>0</v>
      </c>
      <c r="BT73" s="532">
        <f t="shared" si="28"/>
        <v>86685</v>
      </c>
      <c r="BU73" s="532"/>
      <c r="BV73" s="532"/>
      <c r="BW73" s="532">
        <f t="shared" si="29"/>
        <v>0</v>
      </c>
      <c r="BX73" s="532">
        <v>0</v>
      </c>
      <c r="BY73" s="532">
        <f t="shared" si="30"/>
        <v>786871.0900000001</v>
      </c>
      <c r="BZ73" s="543">
        <f t="shared" si="31"/>
        <v>1573742.1800000002</v>
      </c>
      <c r="CA73" s="441">
        <f t="shared" si="32"/>
        <v>600113.0900000001</v>
      </c>
      <c r="CC73" s="316">
        <v>0.44999999995343387</v>
      </c>
      <c r="DW73" s="483"/>
      <c r="DX73" s="442">
        <f>'Table 2'!AS72</f>
      </c>
      <c r="DY73" s="442">
        <f>'Table 2'!AT72</f>
      </c>
      <c r="DZ73" s="442">
        <f>'Table 2'!AU72</f>
      </c>
      <c r="EA73" s="442">
        <f>'Table 2'!AV72</f>
      </c>
      <c r="EB73" s="546"/>
      <c r="EC73" s="442">
        <f>'Table 2'!AX72</f>
      </c>
      <c r="ED73" s="442">
        <f>'Table 2'!AY72</f>
      </c>
      <c r="EE73" s="442">
        <f>'Table 2'!AZ72</f>
      </c>
      <c r="EF73" s="442">
        <f>'Table 2'!BA72</f>
      </c>
      <c r="EG73" s="442">
        <f>'Table 2'!BB72</f>
      </c>
      <c r="EH73" s="442">
        <f>'Table 2'!BC72</f>
      </c>
      <c r="EI73" s="442">
        <f>'Table 2'!BD72</f>
      </c>
      <c r="EJ73" s="442">
        <f>'Table 2'!BE72</f>
      </c>
      <c r="EK73" s="442">
        <f>'Table 2'!BF72</f>
      </c>
      <c r="EL73" s="442">
        <f>'Table 2'!BG72</f>
      </c>
      <c r="EM73" s="442">
        <f>'Table 2'!BH72</f>
      </c>
      <c r="EN73" s="546"/>
      <c r="EO73" s="434">
        <f t="shared" si="33"/>
        <v>0</v>
      </c>
    </row>
    <row r="74" spans="2:145" ht="12.75">
      <c r="B74" s="531">
        <v>5</v>
      </c>
      <c r="C74" s="531" t="s">
        <v>562</v>
      </c>
      <c r="D74" s="531">
        <v>3310</v>
      </c>
      <c r="E74" s="532"/>
      <c r="F74" s="532">
        <v>15</v>
      </c>
      <c r="G74" s="532"/>
      <c r="H74" s="532"/>
      <c r="I74" s="532">
        <v>30</v>
      </c>
      <c r="J74" s="532"/>
      <c r="K74" s="532">
        <v>30</v>
      </c>
      <c r="L74" s="532">
        <v>30</v>
      </c>
      <c r="M74" s="532"/>
      <c r="N74" s="532">
        <v>30</v>
      </c>
      <c r="O74" s="532">
        <v>26</v>
      </c>
      <c r="P74" s="532">
        <v>29</v>
      </c>
      <c r="Q74" s="532">
        <v>29</v>
      </c>
      <c r="R74" s="532"/>
      <c r="S74" s="532"/>
      <c r="T74" s="532"/>
      <c r="U74" s="532"/>
      <c r="V74" s="532"/>
      <c r="W74" s="532"/>
      <c r="X74" s="532"/>
      <c r="Y74" s="532"/>
      <c r="Z74" s="504"/>
      <c r="AA74" s="504"/>
      <c r="AB74" s="532">
        <f t="shared" si="19"/>
        <v>219</v>
      </c>
      <c r="AC74" s="532">
        <f t="shared" si="20"/>
        <v>465314.88000000006</v>
      </c>
      <c r="AD74" s="532">
        <v>37134</v>
      </c>
      <c r="AE74" s="532"/>
      <c r="AF74" s="532">
        <v>0</v>
      </c>
      <c r="AG74" s="532"/>
      <c r="AH74" s="561"/>
      <c r="AI74" s="532"/>
      <c r="AJ74" s="532">
        <f t="shared" si="21"/>
        <v>37134</v>
      </c>
      <c r="AK74" s="539"/>
      <c r="AL74" s="540"/>
      <c r="AM74" s="562"/>
      <c r="AN74" s="562"/>
      <c r="AO74" s="542">
        <f t="shared" si="22"/>
        <v>0</v>
      </c>
      <c r="AP74" s="532">
        <v>6528</v>
      </c>
      <c r="AQ74" s="532">
        <v>7090</v>
      </c>
      <c r="AR74" s="532">
        <v>6817</v>
      </c>
      <c r="AS74" s="532"/>
      <c r="AT74" s="532">
        <v>0</v>
      </c>
      <c r="AU74" s="532">
        <f t="shared" si="23"/>
        <v>20435</v>
      </c>
      <c r="AV74" s="532">
        <v>0</v>
      </c>
      <c r="AW74" s="532">
        <f t="shared" si="18"/>
        <v>3265</v>
      </c>
      <c r="AX74" s="532">
        <f t="shared" si="24"/>
        <v>3265</v>
      </c>
      <c r="AY74" s="532">
        <v>4895</v>
      </c>
      <c r="AZ74" s="532">
        <v>402</v>
      </c>
      <c r="BA74" s="532">
        <v>1645</v>
      </c>
      <c r="BB74" s="532"/>
      <c r="BC74" s="532">
        <f t="shared" si="25"/>
        <v>6942</v>
      </c>
      <c r="BD74" s="532">
        <v>73</v>
      </c>
      <c r="BE74" s="532">
        <v>0</v>
      </c>
      <c r="BF74" s="532">
        <v>0</v>
      </c>
      <c r="BG74" s="532">
        <v>597</v>
      </c>
      <c r="BH74" s="532">
        <v>2525</v>
      </c>
      <c r="BI74" s="532">
        <f t="shared" si="26"/>
        <v>3195</v>
      </c>
      <c r="BJ74" s="532">
        <v>2523</v>
      </c>
      <c r="BK74" s="532">
        <v>212</v>
      </c>
      <c r="BL74" s="532">
        <v>25403</v>
      </c>
      <c r="BM74" s="532">
        <v>1731</v>
      </c>
      <c r="BN74" s="532">
        <f t="shared" si="27"/>
        <v>29869</v>
      </c>
      <c r="BO74" s="532">
        <v>81170</v>
      </c>
      <c r="BP74" s="532">
        <v>21773</v>
      </c>
      <c r="BQ74" s="532"/>
      <c r="BR74" s="532">
        <v>4225</v>
      </c>
      <c r="BS74" s="532">
        <v>0</v>
      </c>
      <c r="BT74" s="532">
        <f t="shared" si="28"/>
        <v>107168</v>
      </c>
      <c r="BU74" s="532"/>
      <c r="BV74" s="532"/>
      <c r="BW74" s="532">
        <f t="shared" si="29"/>
        <v>0</v>
      </c>
      <c r="BX74" s="532">
        <v>0</v>
      </c>
      <c r="BY74" s="532">
        <f t="shared" si="30"/>
        <v>673322.8800000001</v>
      </c>
      <c r="BZ74" s="543">
        <f t="shared" si="31"/>
        <v>1346645.7600000002</v>
      </c>
      <c r="CA74" s="441">
        <f t="shared" si="32"/>
        <v>465314.88000000006</v>
      </c>
      <c r="CC74" s="316">
        <v>0.049999999813735485</v>
      </c>
      <c r="DW74" s="483"/>
      <c r="DX74" s="442">
        <f>'Table 2'!AS73</f>
      </c>
      <c r="DY74" s="442">
        <f>'Table 2'!AT73</f>
      </c>
      <c r="DZ74" s="442">
        <f>'Table 2'!AU73</f>
      </c>
      <c r="EA74" s="442">
        <f>'Table 2'!AV73</f>
      </c>
      <c r="EB74" s="546"/>
      <c r="EC74" s="442">
        <f>'Table 2'!AX73</f>
      </c>
      <c r="ED74" s="442">
        <f>'Table 2'!AY73</f>
      </c>
      <c r="EE74" s="442">
        <f>'Table 2'!AZ73</f>
      </c>
      <c r="EF74" s="442">
        <f>'Table 2'!BA73</f>
      </c>
      <c r="EG74" s="442">
        <f>'Table 2'!BB73</f>
      </c>
      <c r="EH74" s="442">
        <f>'Table 2'!BC73</f>
      </c>
      <c r="EI74" s="442">
        <f>'Table 2'!BD73</f>
      </c>
      <c r="EJ74" s="442">
        <f>'Table 2'!BE73</f>
      </c>
      <c r="EK74" s="442">
        <f>'Table 2'!BF73</f>
      </c>
      <c r="EL74" s="442">
        <f>'Table 2'!BG73</f>
      </c>
      <c r="EM74" s="442">
        <f>'Table 2'!BH73</f>
      </c>
      <c r="EN74" s="546"/>
      <c r="EO74" s="434">
        <f t="shared" si="33"/>
        <v>0</v>
      </c>
    </row>
    <row r="75" spans="2:145" ht="12.75">
      <c r="B75" s="531">
        <v>22</v>
      </c>
      <c r="C75" s="531" t="s">
        <v>563</v>
      </c>
      <c r="D75" s="531">
        <v>3311</v>
      </c>
      <c r="E75" s="532"/>
      <c r="F75" s="532">
        <v>15</v>
      </c>
      <c r="G75" s="532"/>
      <c r="H75" s="532"/>
      <c r="I75" s="532">
        <v>28</v>
      </c>
      <c r="J75" s="532"/>
      <c r="K75" s="532">
        <v>30</v>
      </c>
      <c r="L75" s="532">
        <v>30</v>
      </c>
      <c r="M75" s="532"/>
      <c r="N75" s="532">
        <v>20</v>
      </c>
      <c r="O75" s="532">
        <v>29</v>
      </c>
      <c r="P75" s="532">
        <v>23</v>
      </c>
      <c r="Q75" s="532">
        <v>22</v>
      </c>
      <c r="R75" s="532"/>
      <c r="S75" s="532"/>
      <c r="T75" s="532"/>
      <c r="U75" s="532"/>
      <c r="V75" s="532"/>
      <c r="W75" s="532"/>
      <c r="X75" s="532"/>
      <c r="Y75" s="532"/>
      <c r="Z75" s="504"/>
      <c r="AA75" s="504"/>
      <c r="AB75" s="532">
        <f t="shared" si="19"/>
        <v>197</v>
      </c>
      <c r="AC75" s="532">
        <f t="shared" si="20"/>
        <v>416022.48</v>
      </c>
      <c r="AD75" s="532">
        <v>37134</v>
      </c>
      <c r="AE75" s="532"/>
      <c r="AF75" s="532">
        <v>2360</v>
      </c>
      <c r="AG75" s="532"/>
      <c r="AH75" s="561"/>
      <c r="AI75" s="532"/>
      <c r="AJ75" s="532">
        <f t="shared" si="21"/>
        <v>39494</v>
      </c>
      <c r="AK75" s="539"/>
      <c r="AL75" s="540"/>
      <c r="AM75" s="562"/>
      <c r="AN75" s="562"/>
      <c r="AO75" s="542">
        <f t="shared" si="22"/>
        <v>0</v>
      </c>
      <c r="AP75" s="532">
        <v>28069</v>
      </c>
      <c r="AQ75" s="532">
        <v>5689</v>
      </c>
      <c r="AR75" s="532">
        <v>5470</v>
      </c>
      <c r="AS75" s="532"/>
      <c r="AT75" s="532">
        <v>0</v>
      </c>
      <c r="AU75" s="532">
        <f t="shared" si="23"/>
        <v>39228</v>
      </c>
      <c r="AV75" s="532">
        <v>19115</v>
      </c>
      <c r="AW75" s="532">
        <f t="shared" si="18"/>
        <v>3265</v>
      </c>
      <c r="AX75" s="532">
        <f t="shared" si="24"/>
        <v>22380</v>
      </c>
      <c r="AY75" s="532">
        <v>3928</v>
      </c>
      <c r="AZ75" s="532">
        <v>2543</v>
      </c>
      <c r="BA75" s="532">
        <v>1441</v>
      </c>
      <c r="BB75" s="532"/>
      <c r="BC75" s="532">
        <f t="shared" si="25"/>
        <v>7912</v>
      </c>
      <c r="BD75" s="532">
        <v>366</v>
      </c>
      <c r="BE75" s="532">
        <v>0</v>
      </c>
      <c r="BF75" s="532">
        <v>0</v>
      </c>
      <c r="BG75" s="532">
        <v>3783</v>
      </c>
      <c r="BH75" s="532">
        <v>2212</v>
      </c>
      <c r="BI75" s="532">
        <f t="shared" si="26"/>
        <v>6361</v>
      </c>
      <c r="BJ75" s="532">
        <v>2195</v>
      </c>
      <c r="BK75" s="532">
        <v>818</v>
      </c>
      <c r="BL75" s="532">
        <v>32908</v>
      </c>
      <c r="BM75" s="532">
        <v>2765</v>
      </c>
      <c r="BN75" s="532">
        <f t="shared" si="27"/>
        <v>38686</v>
      </c>
      <c r="BO75" s="532">
        <v>81170</v>
      </c>
      <c r="BP75" s="532">
        <v>29860</v>
      </c>
      <c r="BQ75" s="532"/>
      <c r="BR75" s="532">
        <v>5473</v>
      </c>
      <c r="BS75" s="532">
        <v>0</v>
      </c>
      <c r="BT75" s="532">
        <f t="shared" si="28"/>
        <v>116503</v>
      </c>
      <c r="BU75" s="532"/>
      <c r="BV75" s="532"/>
      <c r="BW75" s="532">
        <f t="shared" si="29"/>
        <v>0</v>
      </c>
      <c r="BX75" s="532">
        <v>0</v>
      </c>
      <c r="BY75" s="532">
        <f t="shared" si="30"/>
        <v>686586.48</v>
      </c>
      <c r="BZ75" s="543">
        <f t="shared" si="31"/>
        <v>1373172.96</v>
      </c>
      <c r="CA75" s="441">
        <f t="shared" si="32"/>
        <v>416022.48</v>
      </c>
      <c r="CC75" s="316">
        <v>0.3800000000046566</v>
      </c>
      <c r="DW75" s="483"/>
      <c r="DX75" s="442">
        <f>'Table 2'!AS74</f>
      </c>
      <c r="DY75" s="442">
        <f>'Table 2'!AT74</f>
      </c>
      <c r="DZ75" s="442">
        <f>'Table 2'!AU74</f>
      </c>
      <c r="EA75" s="442">
        <f>'Table 2'!AV74</f>
      </c>
      <c r="EB75" s="546"/>
      <c r="EC75" s="442">
        <f>'Table 2'!AX74</f>
      </c>
      <c r="ED75" s="442">
        <f>'Table 2'!AY74</f>
      </c>
      <c r="EE75" s="442">
        <f>'Table 2'!AZ74</f>
      </c>
      <c r="EF75" s="442">
        <f>'Table 2'!BA74</f>
      </c>
      <c r="EG75" s="442">
        <f>'Table 2'!BB74</f>
      </c>
      <c r="EH75" s="442">
        <f>'Table 2'!BC74</f>
      </c>
      <c r="EI75" s="442">
        <f>'Table 2'!BD74</f>
      </c>
      <c r="EJ75" s="442">
        <f>'Table 2'!BE74</f>
      </c>
      <c r="EK75" s="442">
        <f>'Table 2'!BF74</f>
      </c>
      <c r="EL75" s="442">
        <f>'Table 2'!BG74</f>
      </c>
      <c r="EM75" s="442">
        <f>'Table 2'!BH74</f>
      </c>
      <c r="EN75" s="546"/>
      <c r="EO75" s="434">
        <f t="shared" si="33"/>
        <v>0</v>
      </c>
    </row>
    <row r="76" spans="2:145" ht="12.75">
      <c r="B76" s="531">
        <v>33</v>
      </c>
      <c r="C76" s="531" t="s">
        <v>564</v>
      </c>
      <c r="D76" s="531">
        <v>3312</v>
      </c>
      <c r="E76" s="532"/>
      <c r="F76" s="532">
        <v>7.5</v>
      </c>
      <c r="G76" s="532"/>
      <c r="H76" s="532"/>
      <c r="I76" s="532">
        <v>17</v>
      </c>
      <c r="J76" s="532"/>
      <c r="K76" s="532">
        <v>13</v>
      </c>
      <c r="L76" s="532">
        <v>26</v>
      </c>
      <c r="M76" s="532"/>
      <c r="N76" s="532">
        <v>17</v>
      </c>
      <c r="O76" s="532">
        <v>21</v>
      </c>
      <c r="P76" s="532">
        <v>15</v>
      </c>
      <c r="Q76" s="532">
        <v>24</v>
      </c>
      <c r="R76" s="532"/>
      <c r="S76" s="532"/>
      <c r="T76" s="532"/>
      <c r="U76" s="532"/>
      <c r="V76" s="532"/>
      <c r="W76" s="532"/>
      <c r="X76" s="532"/>
      <c r="Y76" s="532"/>
      <c r="Z76" s="504"/>
      <c r="AA76" s="504"/>
      <c r="AB76" s="532">
        <f t="shared" si="19"/>
        <v>140.5</v>
      </c>
      <c r="AC76" s="532">
        <f t="shared" si="20"/>
        <v>301126.33</v>
      </c>
      <c r="AD76" s="532">
        <v>27416</v>
      </c>
      <c r="AE76" s="532"/>
      <c r="AF76" s="532">
        <v>33040</v>
      </c>
      <c r="AG76" s="532"/>
      <c r="AH76" s="561"/>
      <c r="AI76" s="532"/>
      <c r="AJ76" s="532">
        <f t="shared" si="21"/>
        <v>60456</v>
      </c>
      <c r="AK76" s="539"/>
      <c r="AL76" s="540"/>
      <c r="AM76" s="562"/>
      <c r="AN76" s="562"/>
      <c r="AO76" s="542">
        <f t="shared" si="22"/>
        <v>0</v>
      </c>
      <c r="AP76" s="532">
        <v>14144</v>
      </c>
      <c r="AQ76" s="532">
        <v>7604</v>
      </c>
      <c r="AR76" s="532">
        <v>7310</v>
      </c>
      <c r="AS76" s="532"/>
      <c r="AT76" s="532">
        <v>0</v>
      </c>
      <c r="AU76" s="532">
        <f t="shared" si="23"/>
        <v>29058</v>
      </c>
      <c r="AV76" s="532">
        <v>3275</v>
      </c>
      <c r="AW76" s="532">
        <f t="shared" si="18"/>
        <v>3265</v>
      </c>
      <c r="AX76" s="532">
        <f t="shared" si="24"/>
        <v>6540</v>
      </c>
      <c r="AY76" s="532">
        <v>5249</v>
      </c>
      <c r="AZ76" s="532">
        <v>1339</v>
      </c>
      <c r="BA76" s="532">
        <v>1357</v>
      </c>
      <c r="BB76" s="532"/>
      <c r="BC76" s="532">
        <f t="shared" si="25"/>
        <v>7945</v>
      </c>
      <c r="BD76" s="532">
        <v>195</v>
      </c>
      <c r="BE76" s="532">
        <v>0</v>
      </c>
      <c r="BF76" s="532">
        <v>0</v>
      </c>
      <c r="BG76" s="532">
        <v>1991</v>
      </c>
      <c r="BH76" s="532">
        <v>2083</v>
      </c>
      <c r="BI76" s="532">
        <f t="shared" si="26"/>
        <v>4269</v>
      </c>
      <c r="BJ76" s="532">
        <v>1640</v>
      </c>
      <c r="BK76" s="532">
        <v>0</v>
      </c>
      <c r="BL76" s="532">
        <v>17162</v>
      </c>
      <c r="BM76" s="532">
        <v>3886</v>
      </c>
      <c r="BN76" s="532">
        <f t="shared" si="27"/>
        <v>22688</v>
      </c>
      <c r="BO76" s="532">
        <v>81170</v>
      </c>
      <c r="BP76" s="532">
        <v>38770</v>
      </c>
      <c r="BQ76" s="532"/>
      <c r="BR76" s="532">
        <v>2854</v>
      </c>
      <c r="BS76" s="532">
        <v>0</v>
      </c>
      <c r="BT76" s="532">
        <f t="shared" si="28"/>
        <v>122794</v>
      </c>
      <c r="BU76" s="532"/>
      <c r="BV76" s="532"/>
      <c r="BW76" s="532">
        <f t="shared" si="29"/>
        <v>0</v>
      </c>
      <c r="BX76" s="532">
        <v>0</v>
      </c>
      <c r="BY76" s="532">
        <f t="shared" si="30"/>
        <v>554876.3300000001</v>
      </c>
      <c r="BZ76" s="543">
        <f t="shared" si="31"/>
        <v>1109752.6600000001</v>
      </c>
      <c r="CA76" s="441">
        <f t="shared" si="32"/>
        <v>301126.33</v>
      </c>
      <c r="CC76" s="316">
        <v>-0.27000000001862645</v>
      </c>
      <c r="DW76" s="483"/>
      <c r="DX76" s="442">
        <f>'Table 2'!AS75</f>
      </c>
      <c r="DY76" s="442">
        <f>'Table 2'!AT75</f>
      </c>
      <c r="DZ76" s="442">
        <f>'Table 2'!AU75</f>
      </c>
      <c r="EA76" s="442">
        <f>'Table 2'!AV75</f>
      </c>
      <c r="EB76" s="546"/>
      <c r="EC76" s="442">
        <f>'Table 2'!AX75</f>
      </c>
      <c r="ED76" s="442">
        <f>'Table 2'!AY75</f>
      </c>
      <c r="EE76" s="442">
        <f>'Table 2'!AZ75</f>
      </c>
      <c r="EF76" s="442">
        <f>'Table 2'!BA75</f>
      </c>
      <c r="EG76" s="442">
        <f>'Table 2'!BB75</f>
      </c>
      <c r="EH76" s="442">
        <f>'Table 2'!BC75</f>
      </c>
      <c r="EI76" s="442">
        <f>'Table 2'!BD75</f>
      </c>
      <c r="EJ76" s="442">
        <f>'Table 2'!BE75</f>
      </c>
      <c r="EK76" s="442">
        <f>'Table 2'!BF75</f>
      </c>
      <c r="EL76" s="442">
        <f>'Table 2'!BG75</f>
      </c>
      <c r="EM76" s="442">
        <f>'Table 2'!BH75</f>
      </c>
      <c r="EN76" s="546"/>
      <c r="EO76" s="434">
        <f t="shared" si="33"/>
        <v>0</v>
      </c>
    </row>
    <row r="77" spans="2:145" ht="12.75">
      <c r="B77" s="531">
        <v>57</v>
      </c>
      <c r="C77" s="531" t="s">
        <v>565</v>
      </c>
      <c r="D77" s="531">
        <v>3313</v>
      </c>
      <c r="E77" s="532"/>
      <c r="F77" s="532">
        <v>15</v>
      </c>
      <c r="G77" s="532"/>
      <c r="H77" s="532"/>
      <c r="I77" s="532">
        <v>30</v>
      </c>
      <c r="J77" s="532"/>
      <c r="K77" s="532">
        <v>30</v>
      </c>
      <c r="L77" s="532">
        <v>34</v>
      </c>
      <c r="M77" s="532"/>
      <c r="N77" s="532">
        <v>40</v>
      </c>
      <c r="O77" s="532">
        <v>31</v>
      </c>
      <c r="P77" s="532">
        <v>33</v>
      </c>
      <c r="Q77" s="532">
        <v>35</v>
      </c>
      <c r="R77" s="532"/>
      <c r="S77" s="532"/>
      <c r="T77" s="532"/>
      <c r="U77" s="532"/>
      <c r="V77" s="532"/>
      <c r="W77" s="532"/>
      <c r="X77" s="532"/>
      <c r="Y77" s="532"/>
      <c r="Z77" s="504"/>
      <c r="AA77" s="504"/>
      <c r="AB77" s="532">
        <f t="shared" si="19"/>
        <v>248</v>
      </c>
      <c r="AC77" s="532">
        <f t="shared" si="20"/>
        <v>528569.65</v>
      </c>
      <c r="AD77" s="532">
        <v>37134</v>
      </c>
      <c r="AE77" s="532"/>
      <c r="AF77" s="532">
        <v>20060</v>
      </c>
      <c r="AG77" s="532"/>
      <c r="AH77" s="561"/>
      <c r="AI77" s="532"/>
      <c r="AJ77" s="532">
        <f t="shared" si="21"/>
        <v>57194</v>
      </c>
      <c r="AK77" s="539"/>
      <c r="AL77" s="540"/>
      <c r="AM77" s="562"/>
      <c r="AN77" s="562"/>
      <c r="AO77" s="542">
        <f t="shared" si="22"/>
        <v>0</v>
      </c>
      <c r="AP77" s="532">
        <v>4352</v>
      </c>
      <c r="AQ77" s="532">
        <v>5123</v>
      </c>
      <c r="AR77" s="532">
        <v>4925</v>
      </c>
      <c r="AS77" s="532"/>
      <c r="AT77" s="532">
        <v>0</v>
      </c>
      <c r="AU77" s="532">
        <f t="shared" si="23"/>
        <v>14400</v>
      </c>
      <c r="AV77" s="532">
        <v>0</v>
      </c>
      <c r="AW77" s="532">
        <f t="shared" si="18"/>
        <v>3265</v>
      </c>
      <c r="AX77" s="532">
        <f t="shared" si="24"/>
        <v>3265</v>
      </c>
      <c r="AY77" s="532">
        <v>3536</v>
      </c>
      <c r="AZ77" s="532">
        <v>402</v>
      </c>
      <c r="BA77" s="532">
        <v>1278</v>
      </c>
      <c r="BB77" s="532"/>
      <c r="BC77" s="532">
        <f t="shared" si="25"/>
        <v>5216</v>
      </c>
      <c r="BD77" s="532">
        <v>48</v>
      </c>
      <c r="BE77" s="532">
        <v>0</v>
      </c>
      <c r="BF77" s="532">
        <v>0</v>
      </c>
      <c r="BG77" s="532">
        <v>597</v>
      </c>
      <c r="BH77" s="532">
        <v>1961</v>
      </c>
      <c r="BI77" s="532">
        <f t="shared" si="26"/>
        <v>2606</v>
      </c>
      <c r="BJ77" s="532">
        <v>3053</v>
      </c>
      <c r="BK77" s="532">
        <v>2405</v>
      </c>
      <c r="BL77" s="532">
        <v>29311</v>
      </c>
      <c r="BM77" s="532">
        <v>4294</v>
      </c>
      <c r="BN77" s="532">
        <f t="shared" si="27"/>
        <v>39063</v>
      </c>
      <c r="BO77" s="532">
        <v>81170</v>
      </c>
      <c r="BP77" s="532">
        <v>7276</v>
      </c>
      <c r="BQ77" s="532"/>
      <c r="BR77" s="532">
        <v>4875</v>
      </c>
      <c r="BS77" s="532">
        <v>0</v>
      </c>
      <c r="BT77" s="532">
        <f t="shared" si="28"/>
        <v>93321</v>
      </c>
      <c r="BU77" s="532"/>
      <c r="BV77" s="532"/>
      <c r="BW77" s="532">
        <f t="shared" si="29"/>
        <v>0</v>
      </c>
      <c r="BX77" s="532">
        <v>0</v>
      </c>
      <c r="BY77" s="532">
        <f t="shared" si="30"/>
        <v>743634.65</v>
      </c>
      <c r="BZ77" s="543">
        <f t="shared" si="31"/>
        <v>1487269.3</v>
      </c>
      <c r="CA77" s="441">
        <f t="shared" si="32"/>
        <v>528569.65</v>
      </c>
      <c r="CC77" s="316">
        <v>-0.35000000009313226</v>
      </c>
      <c r="DW77" s="483"/>
      <c r="DX77" s="442">
        <f>'Table 2'!AS76</f>
      </c>
      <c r="DY77" s="442">
        <f>'Table 2'!AT76</f>
      </c>
      <c r="DZ77" s="442">
        <f>'Table 2'!AU76</f>
      </c>
      <c r="EA77" s="442">
        <f>'Table 2'!AV76</f>
      </c>
      <c r="EB77" s="546"/>
      <c r="EC77" s="442">
        <f>'Table 2'!AX76</f>
      </c>
      <c r="ED77" s="442">
        <f>'Table 2'!AY76</f>
      </c>
      <c r="EE77" s="442">
        <f>'Table 2'!AZ76</f>
      </c>
      <c r="EF77" s="442">
        <f>'Table 2'!BA76</f>
      </c>
      <c r="EG77" s="442">
        <f>'Table 2'!BB76</f>
      </c>
      <c r="EH77" s="442">
        <f>'Table 2'!BC76</f>
      </c>
      <c r="EI77" s="442">
        <f>'Table 2'!BD76</f>
      </c>
      <c r="EJ77" s="442">
        <f>'Table 2'!BE76</f>
      </c>
      <c r="EK77" s="442">
        <f>'Table 2'!BF76</f>
      </c>
      <c r="EL77" s="442">
        <f>'Table 2'!BG76</f>
      </c>
      <c r="EM77" s="442">
        <f>'Table 2'!BH76</f>
      </c>
      <c r="EN77" s="546"/>
      <c r="EO77" s="434">
        <f t="shared" si="33"/>
        <v>0</v>
      </c>
    </row>
    <row r="78" spans="2:145" ht="12.75">
      <c r="B78" s="531">
        <v>56</v>
      </c>
      <c r="C78" s="531" t="s">
        <v>566</v>
      </c>
      <c r="D78" s="531">
        <v>3314</v>
      </c>
      <c r="E78" s="532"/>
      <c r="F78" s="532">
        <v>15</v>
      </c>
      <c r="G78" s="532"/>
      <c r="H78" s="532"/>
      <c r="I78" s="532">
        <v>30</v>
      </c>
      <c r="J78" s="532"/>
      <c r="K78" s="532">
        <v>30</v>
      </c>
      <c r="L78" s="532">
        <v>31</v>
      </c>
      <c r="M78" s="532"/>
      <c r="N78" s="532">
        <v>30</v>
      </c>
      <c r="O78" s="532">
        <v>30</v>
      </c>
      <c r="P78" s="532">
        <v>35</v>
      </c>
      <c r="Q78" s="532">
        <v>27</v>
      </c>
      <c r="R78" s="532"/>
      <c r="S78" s="532"/>
      <c r="T78" s="532"/>
      <c r="U78" s="532"/>
      <c r="V78" s="532"/>
      <c r="W78" s="532"/>
      <c r="X78" s="532"/>
      <c r="Y78" s="532"/>
      <c r="Z78" s="504"/>
      <c r="AA78" s="504"/>
      <c r="AB78" s="532">
        <f t="shared" si="19"/>
        <v>228</v>
      </c>
      <c r="AC78" s="532">
        <f t="shared" si="20"/>
        <v>484688.17</v>
      </c>
      <c r="AD78" s="532">
        <v>37134</v>
      </c>
      <c r="AE78" s="532"/>
      <c r="AF78" s="532">
        <v>23600</v>
      </c>
      <c r="AG78" s="532"/>
      <c r="AH78" s="561"/>
      <c r="AI78" s="532"/>
      <c r="AJ78" s="532">
        <f t="shared" si="21"/>
        <v>60734</v>
      </c>
      <c r="AK78" s="539"/>
      <c r="AL78" s="540"/>
      <c r="AM78" s="562"/>
      <c r="AN78" s="562"/>
      <c r="AO78" s="542">
        <f t="shared" si="22"/>
        <v>0</v>
      </c>
      <c r="AP78" s="532">
        <v>22848</v>
      </c>
      <c r="AQ78" s="532">
        <v>8986</v>
      </c>
      <c r="AR78" s="532">
        <v>8639</v>
      </c>
      <c r="AS78" s="532"/>
      <c r="AT78" s="532">
        <v>0</v>
      </c>
      <c r="AU78" s="532">
        <f t="shared" si="23"/>
        <v>40473</v>
      </c>
      <c r="AV78" s="532">
        <v>10597</v>
      </c>
      <c r="AW78" s="532">
        <f t="shared" si="18"/>
        <v>3265</v>
      </c>
      <c r="AX78" s="532">
        <f t="shared" si="24"/>
        <v>13862</v>
      </c>
      <c r="AY78" s="532">
        <v>6205</v>
      </c>
      <c r="AZ78" s="532">
        <v>2008</v>
      </c>
      <c r="BA78" s="532">
        <v>3738</v>
      </c>
      <c r="BB78" s="532"/>
      <c r="BC78" s="532">
        <f t="shared" si="25"/>
        <v>11951</v>
      </c>
      <c r="BD78" s="532">
        <v>219</v>
      </c>
      <c r="BE78" s="532">
        <v>0</v>
      </c>
      <c r="BF78" s="532">
        <v>0</v>
      </c>
      <c r="BG78" s="532">
        <v>2987</v>
      </c>
      <c r="BH78" s="532">
        <v>5738</v>
      </c>
      <c r="BI78" s="532">
        <f t="shared" si="26"/>
        <v>8944</v>
      </c>
      <c r="BJ78" s="532">
        <v>2271</v>
      </c>
      <c r="BK78" s="532">
        <v>1144</v>
      </c>
      <c r="BL78" s="532">
        <v>27018</v>
      </c>
      <c r="BM78" s="532">
        <v>2464</v>
      </c>
      <c r="BN78" s="532">
        <f t="shared" si="27"/>
        <v>32897</v>
      </c>
      <c r="BO78" s="532">
        <v>81170</v>
      </c>
      <c r="BP78" s="532">
        <v>17741</v>
      </c>
      <c r="BQ78" s="532"/>
      <c r="BR78" s="532">
        <v>4493</v>
      </c>
      <c r="BS78" s="532">
        <v>0</v>
      </c>
      <c r="BT78" s="532">
        <f t="shared" si="28"/>
        <v>103404</v>
      </c>
      <c r="BU78" s="532"/>
      <c r="BV78" s="532"/>
      <c r="BW78" s="532">
        <f t="shared" si="29"/>
        <v>0</v>
      </c>
      <c r="BX78" s="532">
        <v>20449</v>
      </c>
      <c r="BY78" s="532">
        <f t="shared" si="30"/>
        <v>777402.1699999999</v>
      </c>
      <c r="BZ78" s="543">
        <f t="shared" si="31"/>
        <v>1554804.3399999999</v>
      </c>
      <c r="CA78" s="441">
        <f t="shared" si="32"/>
        <v>484688.17</v>
      </c>
      <c r="CC78" s="316">
        <v>-0.389999999984866</v>
      </c>
      <c r="DW78" s="483"/>
      <c r="DX78" s="442">
        <f>'Table 2'!AS77</f>
      </c>
      <c r="DY78" s="442">
        <f>'Table 2'!AT77</f>
      </c>
      <c r="DZ78" s="442">
        <f>'Table 2'!AU77</f>
      </c>
      <c r="EA78" s="442">
        <f>'Table 2'!AV77</f>
      </c>
      <c r="EB78" s="546"/>
      <c r="EC78" s="442">
        <f>'Table 2'!AX77</f>
      </c>
      <c r="ED78" s="442">
        <f>'Table 2'!AY77</f>
      </c>
      <c r="EE78" s="442">
        <f>'Table 2'!AZ77</f>
      </c>
      <c r="EF78" s="442">
        <f>'Table 2'!BA77</f>
      </c>
      <c r="EG78" s="442">
        <f>'Table 2'!BB77</f>
      </c>
      <c r="EH78" s="442">
        <f>'Table 2'!BC77</f>
      </c>
      <c r="EI78" s="442">
        <f>'Table 2'!BD77</f>
      </c>
      <c r="EJ78" s="442">
        <f>'Table 2'!BE77</f>
      </c>
      <c r="EK78" s="442">
        <f>'Table 2'!BF77</f>
      </c>
      <c r="EL78" s="442">
        <f>'Table 2'!BG77</f>
      </c>
      <c r="EM78" s="442">
        <f>'Table 2'!BH77</f>
      </c>
      <c r="EN78" s="546"/>
      <c r="EO78" s="434">
        <f t="shared" si="33"/>
        <v>0</v>
      </c>
    </row>
    <row r="79" spans="2:145" ht="12.75">
      <c r="B79" s="531">
        <v>42</v>
      </c>
      <c r="C79" s="531" t="s">
        <v>567</v>
      </c>
      <c r="D79" s="531">
        <v>3500</v>
      </c>
      <c r="E79" s="532"/>
      <c r="F79" s="532">
        <v>20</v>
      </c>
      <c r="G79" s="532"/>
      <c r="H79" s="532"/>
      <c r="I79" s="532">
        <v>60</v>
      </c>
      <c r="J79" s="532"/>
      <c r="K79" s="532">
        <v>60</v>
      </c>
      <c r="L79" s="532">
        <v>60</v>
      </c>
      <c r="M79" s="532"/>
      <c r="N79" s="532">
        <v>58</v>
      </c>
      <c r="O79" s="532">
        <v>61</v>
      </c>
      <c r="P79" s="532">
        <v>62</v>
      </c>
      <c r="Q79" s="532">
        <v>59</v>
      </c>
      <c r="R79" s="532"/>
      <c r="S79" s="532"/>
      <c r="T79" s="532"/>
      <c r="U79" s="532"/>
      <c r="V79" s="532"/>
      <c r="W79" s="532"/>
      <c r="X79" s="532"/>
      <c r="Y79" s="532"/>
      <c r="Z79" s="504"/>
      <c r="AA79" s="504"/>
      <c r="AB79" s="532">
        <f t="shared" si="19"/>
        <v>440</v>
      </c>
      <c r="AC79" s="532">
        <f t="shared" si="20"/>
        <v>954498.8799999999</v>
      </c>
      <c r="AD79" s="532">
        <v>54834</v>
      </c>
      <c r="AE79" s="532"/>
      <c r="AF79" s="532">
        <v>0</v>
      </c>
      <c r="AG79" s="532"/>
      <c r="AH79" s="561"/>
      <c r="AI79" s="532"/>
      <c r="AJ79" s="532">
        <f t="shared" si="21"/>
        <v>54834</v>
      </c>
      <c r="AK79" s="539"/>
      <c r="AL79" s="540"/>
      <c r="AM79" s="562"/>
      <c r="AN79" s="562"/>
      <c r="AO79" s="542">
        <f t="shared" si="22"/>
        <v>0</v>
      </c>
      <c r="AP79" s="532">
        <v>39168</v>
      </c>
      <c r="AQ79" s="532">
        <v>7618</v>
      </c>
      <c r="AR79" s="532">
        <v>7323</v>
      </c>
      <c r="AS79" s="532"/>
      <c r="AT79" s="532">
        <v>0</v>
      </c>
      <c r="AU79" s="532">
        <f t="shared" si="23"/>
        <v>54109</v>
      </c>
      <c r="AV79" s="532">
        <v>28285</v>
      </c>
      <c r="AW79" s="532">
        <f t="shared" si="18"/>
        <v>3265</v>
      </c>
      <c r="AX79" s="532">
        <f t="shared" si="24"/>
        <v>31550</v>
      </c>
      <c r="AY79" s="532">
        <v>5259</v>
      </c>
      <c r="AZ79" s="532">
        <v>803</v>
      </c>
      <c r="BA79" s="532">
        <v>3323</v>
      </c>
      <c r="BB79" s="532"/>
      <c r="BC79" s="532">
        <f t="shared" si="25"/>
        <v>9385</v>
      </c>
      <c r="BD79" s="532">
        <v>122</v>
      </c>
      <c r="BE79" s="532">
        <v>0</v>
      </c>
      <c r="BF79" s="532">
        <v>0</v>
      </c>
      <c r="BG79" s="532">
        <v>1195</v>
      </c>
      <c r="BH79" s="532">
        <v>5099</v>
      </c>
      <c r="BI79" s="532">
        <f t="shared" si="26"/>
        <v>6416</v>
      </c>
      <c r="BJ79" s="532">
        <v>3633</v>
      </c>
      <c r="BK79" s="532">
        <v>1454</v>
      </c>
      <c r="BL79" s="532">
        <v>40696</v>
      </c>
      <c r="BM79" s="532">
        <v>2706</v>
      </c>
      <c r="BN79" s="532">
        <f t="shared" si="27"/>
        <v>48489</v>
      </c>
      <c r="BO79" s="532">
        <v>81170</v>
      </c>
      <c r="BP79" s="532">
        <v>0</v>
      </c>
      <c r="BQ79" s="532"/>
      <c r="BR79" s="532">
        <v>6768</v>
      </c>
      <c r="BS79" s="532">
        <v>0</v>
      </c>
      <c r="BT79" s="532">
        <f t="shared" si="28"/>
        <v>87938</v>
      </c>
      <c r="BU79" s="532"/>
      <c r="BV79" s="532"/>
      <c r="BW79" s="532">
        <f t="shared" si="29"/>
        <v>0</v>
      </c>
      <c r="BX79" s="532">
        <v>0</v>
      </c>
      <c r="BY79" s="532">
        <f t="shared" si="30"/>
        <v>1247219.88</v>
      </c>
      <c r="BZ79" s="543">
        <f t="shared" si="31"/>
        <v>2494439.76</v>
      </c>
      <c r="CA79" s="441">
        <f t="shared" si="32"/>
        <v>954498.8799999999</v>
      </c>
      <c r="CC79" s="316">
        <v>-0.02000000001862645</v>
      </c>
      <c r="DW79" s="483"/>
      <c r="DX79" s="442">
        <f>'Table 2'!AS78</f>
      </c>
      <c r="DY79" s="442">
        <f>'Table 2'!AT78</f>
      </c>
      <c r="DZ79" s="442">
        <f>'Table 2'!AU78</f>
      </c>
      <c r="EA79" s="442">
        <f>'Table 2'!AV78</f>
      </c>
      <c r="EB79" s="546"/>
      <c r="EC79" s="442">
        <f>'Table 2'!AX78</f>
      </c>
      <c r="ED79" s="442">
        <f>'Table 2'!AY78</f>
      </c>
      <c r="EE79" s="442">
        <f>'Table 2'!AZ78</f>
      </c>
      <c r="EF79" s="442">
        <f>'Table 2'!BA78</f>
      </c>
      <c r="EG79" s="442">
        <f>'Table 2'!BB78</f>
      </c>
      <c r="EH79" s="442">
        <f>'Table 2'!BC78</f>
      </c>
      <c r="EI79" s="442">
        <f>'Table 2'!BD78</f>
      </c>
      <c r="EJ79" s="442">
        <f>'Table 2'!BE78</f>
      </c>
      <c r="EK79" s="442">
        <f>'Table 2'!BF78</f>
      </c>
      <c r="EL79" s="442">
        <f>'Table 2'!BG78</f>
      </c>
      <c r="EM79" s="442">
        <f>'Table 2'!BH78</f>
      </c>
      <c r="EN79" s="546"/>
      <c r="EO79" s="434">
        <f t="shared" si="33"/>
        <v>0</v>
      </c>
    </row>
    <row r="80" spans="2:145" ht="12.75">
      <c r="B80" s="531">
        <v>48</v>
      </c>
      <c r="C80" s="531" t="s">
        <v>568</v>
      </c>
      <c r="D80" s="531">
        <v>3501</v>
      </c>
      <c r="E80" s="532"/>
      <c r="F80" s="532">
        <v>14</v>
      </c>
      <c r="G80" s="532"/>
      <c r="H80" s="532"/>
      <c r="I80" s="532">
        <v>30</v>
      </c>
      <c r="J80" s="532"/>
      <c r="K80" s="532">
        <v>30</v>
      </c>
      <c r="L80" s="532">
        <v>29</v>
      </c>
      <c r="M80" s="532"/>
      <c r="N80" s="532">
        <v>29</v>
      </c>
      <c r="O80" s="532">
        <v>29</v>
      </c>
      <c r="P80" s="532">
        <v>30</v>
      </c>
      <c r="Q80" s="532">
        <v>30</v>
      </c>
      <c r="R80" s="532"/>
      <c r="S80" s="532"/>
      <c r="T80" s="532"/>
      <c r="U80" s="532"/>
      <c r="V80" s="532"/>
      <c r="W80" s="532"/>
      <c r="X80" s="532"/>
      <c r="Y80" s="532"/>
      <c r="Z80" s="504"/>
      <c r="AA80" s="504"/>
      <c r="AB80" s="532">
        <f t="shared" si="19"/>
        <v>221</v>
      </c>
      <c r="AC80" s="532">
        <f t="shared" si="20"/>
        <v>471448.44999999995</v>
      </c>
      <c r="AD80" s="532">
        <v>37134</v>
      </c>
      <c r="AE80" s="532"/>
      <c r="AF80" s="532">
        <v>0</v>
      </c>
      <c r="AG80" s="532"/>
      <c r="AH80" s="561"/>
      <c r="AI80" s="532"/>
      <c r="AJ80" s="532">
        <f t="shared" si="21"/>
        <v>37134</v>
      </c>
      <c r="AK80" s="539"/>
      <c r="AL80" s="540"/>
      <c r="AM80" s="562"/>
      <c r="AN80" s="562"/>
      <c r="AO80" s="542">
        <f t="shared" si="22"/>
        <v>0</v>
      </c>
      <c r="AP80" s="532">
        <v>0</v>
      </c>
      <c r="AQ80" s="532">
        <v>3231</v>
      </c>
      <c r="AR80" s="532">
        <v>3106</v>
      </c>
      <c r="AS80" s="532"/>
      <c r="AT80" s="532">
        <v>0</v>
      </c>
      <c r="AU80" s="532">
        <f t="shared" si="23"/>
        <v>6337</v>
      </c>
      <c r="AV80" s="532">
        <v>0</v>
      </c>
      <c r="AW80" s="532">
        <f t="shared" si="18"/>
        <v>3265</v>
      </c>
      <c r="AX80" s="532">
        <f t="shared" si="24"/>
        <v>3265</v>
      </c>
      <c r="AY80" s="532">
        <v>2231</v>
      </c>
      <c r="AZ80" s="532">
        <v>2275</v>
      </c>
      <c r="BA80" s="532">
        <v>2796</v>
      </c>
      <c r="BB80" s="532"/>
      <c r="BC80" s="532">
        <f t="shared" si="25"/>
        <v>7302</v>
      </c>
      <c r="BD80" s="532">
        <v>366</v>
      </c>
      <c r="BE80" s="532">
        <v>0</v>
      </c>
      <c r="BF80" s="532">
        <v>0</v>
      </c>
      <c r="BG80" s="532">
        <v>3385</v>
      </c>
      <c r="BH80" s="532">
        <v>4292</v>
      </c>
      <c r="BI80" s="532">
        <f t="shared" si="26"/>
        <v>8043</v>
      </c>
      <c r="BJ80" s="532">
        <v>1868</v>
      </c>
      <c r="BK80" s="532">
        <v>893</v>
      </c>
      <c r="BL80" s="532">
        <v>27781</v>
      </c>
      <c r="BM80" s="532">
        <v>2836</v>
      </c>
      <c r="BN80" s="532">
        <f t="shared" si="27"/>
        <v>33378</v>
      </c>
      <c r="BO80" s="532">
        <v>81170</v>
      </c>
      <c r="BP80" s="532">
        <v>20475</v>
      </c>
      <c r="BQ80" s="532"/>
      <c r="BR80" s="532">
        <v>4621</v>
      </c>
      <c r="BS80" s="532">
        <v>0</v>
      </c>
      <c r="BT80" s="532">
        <f t="shared" si="28"/>
        <v>106266</v>
      </c>
      <c r="BU80" s="532"/>
      <c r="BV80" s="532"/>
      <c r="BW80" s="532">
        <f t="shared" si="29"/>
        <v>0</v>
      </c>
      <c r="BX80" s="532">
        <v>0</v>
      </c>
      <c r="BY80" s="532">
        <f t="shared" si="30"/>
        <v>673173.45</v>
      </c>
      <c r="BZ80" s="543">
        <f t="shared" si="31"/>
        <v>1346346.9</v>
      </c>
      <c r="CA80" s="441">
        <f t="shared" si="32"/>
        <v>471448.44999999995</v>
      </c>
      <c r="CC80" s="316">
        <v>0.2999999999301508</v>
      </c>
      <c r="DW80" s="483"/>
      <c r="DX80" s="442">
        <f>'Table 2'!AS79</f>
      </c>
      <c r="DY80" s="442">
        <f>'Table 2'!AT79</f>
      </c>
      <c r="DZ80" s="442">
        <f>'Table 2'!AU79</f>
      </c>
      <c r="EA80" s="442">
        <f>'Table 2'!AV79</f>
      </c>
      <c r="EB80" s="546"/>
      <c r="EC80" s="442">
        <f>'Table 2'!AX79</f>
      </c>
      <c r="ED80" s="442">
        <f>'Table 2'!AY79</f>
      </c>
      <c r="EE80" s="442">
        <f>'Table 2'!AZ79</f>
      </c>
      <c r="EF80" s="442">
        <f>'Table 2'!BA79</f>
      </c>
      <c r="EG80" s="442">
        <f>'Table 2'!BB79</f>
      </c>
      <c r="EH80" s="442">
        <f>'Table 2'!BC79</f>
      </c>
      <c r="EI80" s="442">
        <f>'Table 2'!BD79</f>
      </c>
      <c r="EJ80" s="442">
        <f>'Table 2'!BE79</f>
      </c>
      <c r="EK80" s="442">
        <f>'Table 2'!BF79</f>
      </c>
      <c r="EL80" s="442">
        <f>'Table 2'!BG79</f>
      </c>
      <c r="EM80" s="442">
        <f>'Table 2'!BH79</f>
      </c>
      <c r="EN80" s="546"/>
      <c r="EO80" s="434">
        <f t="shared" si="33"/>
        <v>0</v>
      </c>
    </row>
    <row r="81" spans="2:145" ht="12.75">
      <c r="B81" s="531">
        <v>51</v>
      </c>
      <c r="C81" s="531" t="s">
        <v>569</v>
      </c>
      <c r="D81" s="531">
        <v>3502</v>
      </c>
      <c r="E81" s="532"/>
      <c r="F81" s="532">
        <v>15</v>
      </c>
      <c r="G81" s="532"/>
      <c r="H81" s="532"/>
      <c r="I81" s="532">
        <v>30</v>
      </c>
      <c r="J81" s="532"/>
      <c r="K81" s="532">
        <v>30</v>
      </c>
      <c r="L81" s="532">
        <v>30</v>
      </c>
      <c r="M81" s="532"/>
      <c r="N81" s="532">
        <v>30</v>
      </c>
      <c r="O81" s="532">
        <v>31</v>
      </c>
      <c r="P81" s="532">
        <v>28</v>
      </c>
      <c r="Q81" s="532">
        <v>30</v>
      </c>
      <c r="R81" s="532"/>
      <c r="S81" s="532"/>
      <c r="T81" s="532"/>
      <c r="U81" s="532"/>
      <c r="V81" s="532"/>
      <c r="W81" s="532"/>
      <c r="X81" s="532"/>
      <c r="Y81" s="532"/>
      <c r="Z81" s="504"/>
      <c r="AA81" s="504"/>
      <c r="AB81" s="532">
        <f t="shared" si="19"/>
        <v>224</v>
      </c>
      <c r="AC81" s="532">
        <f t="shared" si="20"/>
        <v>476047.73</v>
      </c>
      <c r="AD81" s="532">
        <v>37134</v>
      </c>
      <c r="AE81" s="532"/>
      <c r="AF81" s="532">
        <v>0</v>
      </c>
      <c r="AG81" s="532"/>
      <c r="AH81" s="561"/>
      <c r="AI81" s="532"/>
      <c r="AJ81" s="532">
        <f t="shared" si="21"/>
        <v>37134</v>
      </c>
      <c r="AK81" s="539"/>
      <c r="AL81" s="540"/>
      <c r="AM81" s="562"/>
      <c r="AN81" s="562"/>
      <c r="AO81" s="542">
        <f t="shared" si="22"/>
        <v>0</v>
      </c>
      <c r="AP81" s="532">
        <v>3264</v>
      </c>
      <c r="AQ81" s="532">
        <v>3382</v>
      </c>
      <c r="AR81" s="532">
        <v>3251</v>
      </c>
      <c r="AS81" s="532"/>
      <c r="AT81" s="532">
        <v>0</v>
      </c>
      <c r="AU81" s="532">
        <f t="shared" si="23"/>
        <v>9897</v>
      </c>
      <c r="AV81" s="532">
        <v>0</v>
      </c>
      <c r="AW81" s="532">
        <f t="shared" si="18"/>
        <v>3265</v>
      </c>
      <c r="AX81" s="532">
        <f t="shared" si="24"/>
        <v>3265</v>
      </c>
      <c r="AY81" s="532">
        <v>2335</v>
      </c>
      <c r="AZ81" s="532">
        <v>535</v>
      </c>
      <c r="BA81" s="532">
        <v>1397</v>
      </c>
      <c r="BB81" s="532"/>
      <c r="BC81" s="532">
        <f t="shared" si="25"/>
        <v>4267</v>
      </c>
      <c r="BD81" s="532">
        <v>98</v>
      </c>
      <c r="BE81" s="532">
        <v>0</v>
      </c>
      <c r="BF81" s="532">
        <v>0</v>
      </c>
      <c r="BG81" s="532">
        <v>796</v>
      </c>
      <c r="BH81" s="532">
        <v>2144</v>
      </c>
      <c r="BI81" s="532">
        <f t="shared" si="26"/>
        <v>3038</v>
      </c>
      <c r="BJ81" s="532">
        <v>3911</v>
      </c>
      <c r="BK81" s="532">
        <v>3893</v>
      </c>
      <c r="BL81" s="532">
        <v>29708</v>
      </c>
      <c r="BM81" s="532">
        <v>3880</v>
      </c>
      <c r="BN81" s="532">
        <f t="shared" si="27"/>
        <v>41392</v>
      </c>
      <c r="BO81" s="532">
        <v>81170</v>
      </c>
      <c r="BP81" s="532">
        <v>19585</v>
      </c>
      <c r="BQ81" s="532"/>
      <c r="BR81" s="532">
        <v>4941</v>
      </c>
      <c r="BS81" s="532">
        <v>0</v>
      </c>
      <c r="BT81" s="532">
        <f t="shared" si="28"/>
        <v>105696</v>
      </c>
      <c r="BU81" s="532"/>
      <c r="BV81" s="532"/>
      <c r="BW81" s="532">
        <f t="shared" si="29"/>
        <v>0</v>
      </c>
      <c r="BX81" s="532">
        <v>0</v>
      </c>
      <c r="BY81" s="532">
        <f t="shared" si="30"/>
        <v>680736.73</v>
      </c>
      <c r="BZ81" s="543">
        <f t="shared" si="31"/>
        <v>1361473.46</v>
      </c>
      <c r="CA81" s="441">
        <f t="shared" si="32"/>
        <v>476047.73</v>
      </c>
      <c r="CC81" s="316">
        <v>0.1699999999254942</v>
      </c>
      <c r="DW81" s="483"/>
      <c r="DX81" s="442">
        <f>'Table 2'!AS80</f>
      </c>
      <c r="DY81" s="442">
        <f>'Table 2'!AT80</f>
      </c>
      <c r="DZ81" s="442">
        <f>'Table 2'!AU80</f>
      </c>
      <c r="EA81" s="442">
        <f>'Table 2'!AV80</f>
      </c>
      <c r="EB81" s="546"/>
      <c r="EC81" s="442">
        <f>'Table 2'!AX80</f>
      </c>
      <c r="ED81" s="442">
        <f>'Table 2'!AY80</f>
      </c>
      <c r="EE81" s="442">
        <f>'Table 2'!AZ80</f>
      </c>
      <c r="EF81" s="442">
        <f>'Table 2'!BA80</f>
      </c>
      <c r="EG81" s="442">
        <f>'Table 2'!BB80</f>
      </c>
      <c r="EH81" s="442">
        <f>'Table 2'!BC80</f>
      </c>
      <c r="EI81" s="442">
        <f>'Table 2'!BD80</f>
      </c>
      <c r="EJ81" s="442">
        <f>'Table 2'!BE80</f>
      </c>
      <c r="EK81" s="442">
        <f>'Table 2'!BF80</f>
      </c>
      <c r="EL81" s="442">
        <f>'Table 2'!BG80</f>
      </c>
      <c r="EM81" s="442">
        <f>'Table 2'!BH80</f>
      </c>
      <c r="EN81" s="546"/>
      <c r="EO81" s="434">
        <f t="shared" si="33"/>
        <v>0</v>
      </c>
    </row>
    <row r="82" spans="2:145" ht="12.75">
      <c r="B82" s="531">
        <v>52</v>
      </c>
      <c r="C82" s="531" t="s">
        <v>570</v>
      </c>
      <c r="D82" s="531">
        <v>3503</v>
      </c>
      <c r="E82" s="532"/>
      <c r="F82" s="532">
        <v>9</v>
      </c>
      <c r="G82" s="532"/>
      <c r="H82" s="532"/>
      <c r="I82" s="532">
        <v>30</v>
      </c>
      <c r="J82" s="532"/>
      <c r="K82" s="532">
        <v>30</v>
      </c>
      <c r="L82" s="532">
        <v>30</v>
      </c>
      <c r="M82" s="532"/>
      <c r="N82" s="532">
        <v>29</v>
      </c>
      <c r="O82" s="532">
        <v>30</v>
      </c>
      <c r="P82" s="532">
        <v>30</v>
      </c>
      <c r="Q82" s="532">
        <v>30</v>
      </c>
      <c r="R82" s="532"/>
      <c r="S82" s="532"/>
      <c r="T82" s="532"/>
      <c r="U82" s="532"/>
      <c r="V82" s="532"/>
      <c r="W82" s="532"/>
      <c r="X82" s="532"/>
      <c r="Y82" s="532"/>
      <c r="Z82" s="504"/>
      <c r="AA82" s="504"/>
      <c r="AB82" s="532">
        <f t="shared" si="19"/>
        <v>218</v>
      </c>
      <c r="AC82" s="532">
        <f t="shared" si="20"/>
        <v>474929.6499999999</v>
      </c>
      <c r="AD82" s="532">
        <v>37134</v>
      </c>
      <c r="AE82" s="532"/>
      <c r="AF82" s="532">
        <v>0</v>
      </c>
      <c r="AG82" s="532"/>
      <c r="AH82" s="561"/>
      <c r="AI82" s="532"/>
      <c r="AJ82" s="532">
        <f t="shared" si="21"/>
        <v>37134</v>
      </c>
      <c r="AK82" s="539"/>
      <c r="AL82" s="540"/>
      <c r="AM82" s="562"/>
      <c r="AN82" s="562"/>
      <c r="AO82" s="542">
        <f t="shared" si="22"/>
        <v>0</v>
      </c>
      <c r="AP82" s="532">
        <v>21760</v>
      </c>
      <c r="AQ82" s="532">
        <v>7738</v>
      </c>
      <c r="AR82" s="532">
        <v>7439</v>
      </c>
      <c r="AS82" s="532"/>
      <c r="AT82" s="532">
        <v>0</v>
      </c>
      <c r="AU82" s="532">
        <f t="shared" si="23"/>
        <v>36937</v>
      </c>
      <c r="AV82" s="532">
        <v>10757</v>
      </c>
      <c r="AW82" s="532">
        <f t="shared" si="18"/>
        <v>3265</v>
      </c>
      <c r="AX82" s="532">
        <f t="shared" si="24"/>
        <v>14022</v>
      </c>
      <c r="AY82" s="532">
        <v>5342</v>
      </c>
      <c r="AZ82" s="532">
        <v>803</v>
      </c>
      <c r="BA82" s="532">
        <v>1077</v>
      </c>
      <c r="BB82" s="532"/>
      <c r="BC82" s="532">
        <f t="shared" si="25"/>
        <v>7222</v>
      </c>
      <c r="BD82" s="532">
        <v>122</v>
      </c>
      <c r="BE82" s="532">
        <v>0</v>
      </c>
      <c r="BF82" s="532">
        <v>0</v>
      </c>
      <c r="BG82" s="532">
        <v>1195</v>
      </c>
      <c r="BH82" s="532">
        <v>1653</v>
      </c>
      <c r="BI82" s="532">
        <f t="shared" si="26"/>
        <v>2970</v>
      </c>
      <c r="BJ82" s="532">
        <v>3104</v>
      </c>
      <c r="BK82" s="532">
        <v>781</v>
      </c>
      <c r="BL82" s="532">
        <v>28546</v>
      </c>
      <c r="BM82" s="532">
        <v>2273</v>
      </c>
      <c r="BN82" s="532">
        <f t="shared" si="27"/>
        <v>34704</v>
      </c>
      <c r="BO82" s="532">
        <v>81170</v>
      </c>
      <c r="BP82" s="532">
        <v>19585</v>
      </c>
      <c r="BQ82" s="532"/>
      <c r="BR82" s="532">
        <v>4748</v>
      </c>
      <c r="BS82" s="532">
        <v>0</v>
      </c>
      <c r="BT82" s="532">
        <f t="shared" si="28"/>
        <v>105503</v>
      </c>
      <c r="BU82" s="532"/>
      <c r="BV82" s="532"/>
      <c r="BW82" s="532">
        <f t="shared" si="29"/>
        <v>0</v>
      </c>
      <c r="BX82" s="532">
        <v>0</v>
      </c>
      <c r="BY82" s="532">
        <f t="shared" si="30"/>
        <v>713421.6499999999</v>
      </c>
      <c r="BZ82" s="543">
        <f t="shared" si="31"/>
        <v>1426843.2999999998</v>
      </c>
      <c r="CA82" s="441">
        <f t="shared" si="32"/>
        <v>474929.6499999999</v>
      </c>
      <c r="CC82" s="316">
        <v>-0.35000000009313226</v>
      </c>
      <c r="DW82" s="483"/>
      <c r="DX82" s="442">
        <f>'Table 2'!AS81</f>
      </c>
      <c r="DY82" s="442">
        <f>'Table 2'!AT81</f>
      </c>
      <c r="DZ82" s="442">
        <f>'Table 2'!AU81</f>
      </c>
      <c r="EA82" s="442">
        <f>'Table 2'!AV81</f>
      </c>
      <c r="EB82" s="546"/>
      <c r="EC82" s="442">
        <f>'Table 2'!AX81</f>
      </c>
      <c r="ED82" s="442">
        <f>'Table 2'!AY81</f>
      </c>
      <c r="EE82" s="442">
        <f>'Table 2'!AZ81</f>
      </c>
      <c r="EF82" s="442">
        <f>'Table 2'!BA81</f>
      </c>
      <c r="EG82" s="442">
        <f>'Table 2'!BB81</f>
      </c>
      <c r="EH82" s="442">
        <f>'Table 2'!BC81</f>
      </c>
      <c r="EI82" s="442">
        <f>'Table 2'!BD81</f>
      </c>
      <c r="EJ82" s="442">
        <f>'Table 2'!BE81</f>
      </c>
      <c r="EK82" s="442">
        <f>'Table 2'!BF81</f>
      </c>
      <c r="EL82" s="442">
        <f>'Table 2'!BG81</f>
      </c>
      <c r="EM82" s="442">
        <f>'Table 2'!BH81</f>
      </c>
      <c r="EN82" s="546"/>
      <c r="EO82" s="434">
        <f t="shared" si="33"/>
        <v>0</v>
      </c>
    </row>
    <row r="83" spans="2:145" ht="12.75">
      <c r="B83" s="531">
        <v>41</v>
      </c>
      <c r="C83" s="531" t="s">
        <v>571</v>
      </c>
      <c r="D83" s="531">
        <v>3504</v>
      </c>
      <c r="E83" s="532"/>
      <c r="F83" s="532">
        <v>15</v>
      </c>
      <c r="G83" s="532"/>
      <c r="H83" s="532"/>
      <c r="I83" s="532">
        <v>45</v>
      </c>
      <c r="J83" s="532"/>
      <c r="K83" s="532">
        <v>45</v>
      </c>
      <c r="L83" s="532">
        <v>46</v>
      </c>
      <c r="M83" s="532"/>
      <c r="N83" s="532">
        <v>43</v>
      </c>
      <c r="O83" s="532">
        <v>32</v>
      </c>
      <c r="P83" s="532">
        <v>30</v>
      </c>
      <c r="Q83" s="532">
        <v>53</v>
      </c>
      <c r="R83" s="532"/>
      <c r="S83" s="532"/>
      <c r="T83" s="532"/>
      <c r="U83" s="532"/>
      <c r="V83" s="532"/>
      <c r="W83" s="532"/>
      <c r="X83" s="532"/>
      <c r="Y83" s="532"/>
      <c r="Z83" s="504"/>
      <c r="AA83" s="504"/>
      <c r="AB83" s="532">
        <f t="shared" si="19"/>
        <v>309</v>
      </c>
      <c r="AC83" s="532">
        <f t="shared" si="20"/>
        <v>670810.97</v>
      </c>
      <c r="AD83" s="532">
        <v>37134</v>
      </c>
      <c r="AE83" s="532"/>
      <c r="AF83" s="532">
        <v>37760</v>
      </c>
      <c r="AG83" s="532"/>
      <c r="AH83" s="561"/>
      <c r="AI83" s="532"/>
      <c r="AJ83" s="532">
        <f t="shared" si="21"/>
        <v>74894</v>
      </c>
      <c r="AK83" s="539"/>
      <c r="AL83" s="540"/>
      <c r="AM83" s="562"/>
      <c r="AN83" s="562"/>
      <c r="AO83" s="542">
        <f t="shared" si="22"/>
        <v>0</v>
      </c>
      <c r="AP83" s="532">
        <v>9792</v>
      </c>
      <c r="AQ83" s="532">
        <v>11623</v>
      </c>
      <c r="AR83" s="532">
        <v>11174</v>
      </c>
      <c r="AS83" s="532"/>
      <c r="AT83" s="532">
        <v>0</v>
      </c>
      <c r="AU83" s="532">
        <f t="shared" si="23"/>
        <v>32589</v>
      </c>
      <c r="AV83" s="532">
        <v>0</v>
      </c>
      <c r="AW83" s="532">
        <f t="shared" si="18"/>
        <v>3265</v>
      </c>
      <c r="AX83" s="532">
        <f t="shared" si="24"/>
        <v>3265</v>
      </c>
      <c r="AY83" s="532">
        <v>8025</v>
      </c>
      <c r="AZ83" s="532">
        <v>2811</v>
      </c>
      <c r="BA83" s="532">
        <v>3898</v>
      </c>
      <c r="BB83" s="532"/>
      <c r="BC83" s="532">
        <f t="shared" si="25"/>
        <v>14734</v>
      </c>
      <c r="BD83" s="532">
        <v>439</v>
      </c>
      <c r="BE83" s="532">
        <v>0</v>
      </c>
      <c r="BF83" s="532">
        <v>0</v>
      </c>
      <c r="BG83" s="532">
        <v>4181</v>
      </c>
      <c r="BH83" s="532">
        <v>5982</v>
      </c>
      <c r="BI83" s="532">
        <f t="shared" si="26"/>
        <v>10602</v>
      </c>
      <c r="BJ83" s="532">
        <v>2750</v>
      </c>
      <c r="BK83" s="532">
        <v>1448</v>
      </c>
      <c r="BL83" s="532">
        <v>45369</v>
      </c>
      <c r="BM83" s="532">
        <v>2131</v>
      </c>
      <c r="BN83" s="532">
        <f t="shared" si="27"/>
        <v>51698</v>
      </c>
      <c r="BO83" s="532">
        <v>81170</v>
      </c>
      <c r="BP83" s="532">
        <v>0</v>
      </c>
      <c r="BQ83" s="532"/>
      <c r="BR83" s="532">
        <v>7545</v>
      </c>
      <c r="BS83" s="532">
        <v>0</v>
      </c>
      <c r="BT83" s="532">
        <f t="shared" si="28"/>
        <v>88715</v>
      </c>
      <c r="BU83" s="532"/>
      <c r="BV83" s="532"/>
      <c r="BW83" s="532">
        <f t="shared" si="29"/>
        <v>0</v>
      </c>
      <c r="BX83" s="532">
        <v>0</v>
      </c>
      <c r="BY83" s="532">
        <f t="shared" si="30"/>
        <v>947307.97</v>
      </c>
      <c r="BZ83" s="543">
        <f t="shared" si="31"/>
        <v>1894615.94</v>
      </c>
      <c r="CA83" s="441">
        <f t="shared" si="32"/>
        <v>670810.97</v>
      </c>
      <c r="CC83" s="316">
        <v>0</v>
      </c>
      <c r="DW83" s="483"/>
      <c r="DX83" s="442">
        <f>'Table 2'!AS82</f>
      </c>
      <c r="DY83" s="442">
        <f>'Table 2'!AT82</f>
      </c>
      <c r="DZ83" s="442">
        <f>'Table 2'!AU82</f>
      </c>
      <c r="EA83" s="442">
        <f>'Table 2'!AV82</f>
      </c>
      <c r="EB83" s="546"/>
      <c r="EC83" s="442">
        <f>'Table 2'!AX82</f>
      </c>
      <c r="ED83" s="442">
        <f>'Table 2'!AY82</f>
      </c>
      <c r="EE83" s="442">
        <f>'Table 2'!AZ82</f>
      </c>
      <c r="EF83" s="442">
        <f>'Table 2'!BA82</f>
      </c>
      <c r="EG83" s="442">
        <f>'Table 2'!BB82</f>
      </c>
      <c r="EH83" s="442">
        <f>'Table 2'!BC82</f>
      </c>
      <c r="EI83" s="442">
        <f>'Table 2'!BD82</f>
      </c>
      <c r="EJ83" s="442">
        <f>'Table 2'!BE82</f>
      </c>
      <c r="EK83" s="442">
        <f>'Table 2'!BF82</f>
      </c>
      <c r="EL83" s="442">
        <f>'Table 2'!BG82</f>
      </c>
      <c r="EM83" s="442">
        <f>'Table 2'!BH82</f>
      </c>
      <c r="EN83" s="546"/>
      <c r="EO83" s="434">
        <f t="shared" si="33"/>
        <v>0</v>
      </c>
    </row>
    <row r="84" spans="2:145" ht="12.75">
      <c r="B84" s="531">
        <v>50</v>
      </c>
      <c r="C84" s="531" t="s">
        <v>572</v>
      </c>
      <c r="D84" s="531">
        <v>3510</v>
      </c>
      <c r="E84" s="532"/>
      <c r="F84" s="532">
        <v>12.5</v>
      </c>
      <c r="G84" s="532"/>
      <c r="H84" s="532"/>
      <c r="I84" s="532">
        <v>30</v>
      </c>
      <c r="J84" s="532"/>
      <c r="K84" s="532">
        <v>30</v>
      </c>
      <c r="L84" s="532">
        <v>29</v>
      </c>
      <c r="M84" s="532"/>
      <c r="N84" s="532">
        <v>30</v>
      </c>
      <c r="O84" s="532">
        <v>28</v>
      </c>
      <c r="P84" s="532">
        <v>32</v>
      </c>
      <c r="Q84" s="532">
        <v>28</v>
      </c>
      <c r="R84" s="532"/>
      <c r="S84" s="532"/>
      <c r="T84" s="532"/>
      <c r="U84" s="532"/>
      <c r="V84" s="532"/>
      <c r="W84" s="532"/>
      <c r="X84" s="532"/>
      <c r="Y84" s="532"/>
      <c r="Z84" s="504"/>
      <c r="AA84" s="504"/>
      <c r="AB84" s="532">
        <f t="shared" si="19"/>
        <v>219.5</v>
      </c>
      <c r="AC84" s="532">
        <f t="shared" si="20"/>
        <v>471267.38</v>
      </c>
      <c r="AD84" s="532">
        <v>37134</v>
      </c>
      <c r="AE84" s="532"/>
      <c r="AF84" s="532">
        <v>0</v>
      </c>
      <c r="AG84" s="532"/>
      <c r="AH84" s="561"/>
      <c r="AI84" s="532"/>
      <c r="AJ84" s="532">
        <f t="shared" si="21"/>
        <v>37134</v>
      </c>
      <c r="AK84" s="539"/>
      <c r="AL84" s="540"/>
      <c r="AM84" s="562"/>
      <c r="AN84" s="562"/>
      <c r="AO84" s="542">
        <f t="shared" si="22"/>
        <v>0</v>
      </c>
      <c r="AP84" s="532">
        <v>14144</v>
      </c>
      <c r="AQ84" s="532">
        <v>20142</v>
      </c>
      <c r="AR84" s="532">
        <v>19362</v>
      </c>
      <c r="AS84" s="532"/>
      <c r="AT84" s="532">
        <v>0</v>
      </c>
      <c r="AU84" s="532">
        <f t="shared" si="23"/>
        <v>53648</v>
      </c>
      <c r="AV84" s="532">
        <v>0</v>
      </c>
      <c r="AW84" s="532">
        <f t="shared" si="18"/>
        <v>3265</v>
      </c>
      <c r="AX84" s="532">
        <f t="shared" si="24"/>
        <v>3265</v>
      </c>
      <c r="AY84" s="532">
        <v>13904</v>
      </c>
      <c r="AZ84" s="532">
        <v>10039</v>
      </c>
      <c r="BA84" s="532">
        <v>7951</v>
      </c>
      <c r="BB84" s="532"/>
      <c r="BC84" s="532">
        <f t="shared" si="25"/>
        <v>31894</v>
      </c>
      <c r="BD84" s="532">
        <v>805</v>
      </c>
      <c r="BE84" s="532">
        <v>0</v>
      </c>
      <c r="BF84" s="532">
        <v>0</v>
      </c>
      <c r="BG84" s="532">
        <v>14933</v>
      </c>
      <c r="BH84" s="532">
        <v>12203</v>
      </c>
      <c r="BI84" s="532">
        <f t="shared" si="26"/>
        <v>27941</v>
      </c>
      <c r="BJ84" s="532">
        <v>1595</v>
      </c>
      <c r="BK84" s="532">
        <v>890</v>
      </c>
      <c r="BL84" s="532">
        <v>26196</v>
      </c>
      <c r="BM84" s="532">
        <v>2351</v>
      </c>
      <c r="BN84" s="532">
        <f t="shared" si="27"/>
        <v>31032</v>
      </c>
      <c r="BO84" s="532">
        <v>81170</v>
      </c>
      <c r="BP84" s="532">
        <v>20475</v>
      </c>
      <c r="BQ84" s="532"/>
      <c r="BR84" s="532">
        <v>0</v>
      </c>
      <c r="BS84" s="532">
        <v>0</v>
      </c>
      <c r="BT84" s="532">
        <f t="shared" si="28"/>
        <v>101645</v>
      </c>
      <c r="BU84" s="532"/>
      <c r="BV84" s="532"/>
      <c r="BW84" s="532">
        <f t="shared" si="29"/>
        <v>0</v>
      </c>
      <c r="BX84" s="532">
        <v>0</v>
      </c>
      <c r="BY84" s="532">
        <f t="shared" si="30"/>
        <v>757826.38</v>
      </c>
      <c r="BZ84" s="543">
        <f t="shared" si="31"/>
        <v>1515652.76</v>
      </c>
      <c r="CA84" s="441">
        <f t="shared" si="32"/>
        <v>471267.38</v>
      </c>
      <c r="CC84" s="316">
        <v>-0.12000000011175871</v>
      </c>
      <c r="DW84" s="483"/>
      <c r="DX84" s="442">
        <f>'Table 2'!AS83</f>
      </c>
      <c r="DY84" s="442">
        <f>'Table 2'!AT83</f>
      </c>
      <c r="DZ84" s="442">
        <f>'Table 2'!AU83</f>
      </c>
      <c r="EA84" s="442">
        <f>'Table 2'!AV83</f>
      </c>
      <c r="EB84" s="546"/>
      <c r="EC84" s="442">
        <f>'Table 2'!AX83</f>
      </c>
      <c r="ED84" s="442">
        <f>'Table 2'!AY83</f>
      </c>
      <c r="EE84" s="442">
        <f>'Table 2'!AZ83</f>
      </c>
      <c r="EF84" s="442">
        <f>'Table 2'!BA83</f>
      </c>
      <c r="EG84" s="442">
        <f>'Table 2'!BB83</f>
      </c>
      <c r="EH84" s="442">
        <f>'Table 2'!BC83</f>
      </c>
      <c r="EI84" s="442">
        <f>'Table 2'!BD83</f>
      </c>
      <c r="EJ84" s="442">
        <f>'Table 2'!BE83</f>
      </c>
      <c r="EK84" s="442">
        <f>'Table 2'!BF83</f>
      </c>
      <c r="EL84" s="442">
        <f>'Table 2'!BG83</f>
      </c>
      <c r="EM84" s="442">
        <f>'Table 2'!BH83</f>
      </c>
      <c r="EN84" s="546"/>
      <c r="EO84" s="434">
        <f t="shared" si="33"/>
        <v>0</v>
      </c>
    </row>
    <row r="85" spans="2:145" ht="12.75">
      <c r="B85" s="531">
        <v>49</v>
      </c>
      <c r="C85" s="531" t="s">
        <v>573</v>
      </c>
      <c r="D85" s="531">
        <v>3511</v>
      </c>
      <c r="E85" s="532"/>
      <c r="F85" s="532">
        <v>20</v>
      </c>
      <c r="G85" s="532"/>
      <c r="H85" s="532"/>
      <c r="I85" s="532">
        <v>55</v>
      </c>
      <c r="J85" s="532"/>
      <c r="K85" s="532">
        <v>48</v>
      </c>
      <c r="L85" s="532">
        <v>44</v>
      </c>
      <c r="M85" s="532"/>
      <c r="N85" s="532">
        <v>37</v>
      </c>
      <c r="O85" s="532">
        <v>52</v>
      </c>
      <c r="P85" s="532">
        <v>47</v>
      </c>
      <c r="Q85" s="532">
        <v>55</v>
      </c>
      <c r="R85" s="532"/>
      <c r="S85" s="532"/>
      <c r="T85" s="532"/>
      <c r="U85" s="532"/>
      <c r="V85" s="532"/>
      <c r="W85" s="532"/>
      <c r="X85" s="532"/>
      <c r="Y85" s="532"/>
      <c r="Z85" s="504"/>
      <c r="AA85" s="504"/>
      <c r="AB85" s="532">
        <f t="shared" si="19"/>
        <v>358</v>
      </c>
      <c r="AC85" s="532">
        <f t="shared" si="20"/>
        <v>772109.05</v>
      </c>
      <c r="AD85" s="532">
        <v>54834</v>
      </c>
      <c r="AE85" s="532"/>
      <c r="AF85" s="532">
        <v>24780</v>
      </c>
      <c r="AG85" s="532"/>
      <c r="AH85" s="561"/>
      <c r="AI85" s="532"/>
      <c r="AJ85" s="532">
        <f t="shared" si="21"/>
        <v>79614</v>
      </c>
      <c r="AK85" s="539"/>
      <c r="AL85" s="540"/>
      <c r="AM85" s="562"/>
      <c r="AN85" s="562"/>
      <c r="AO85" s="542">
        <f t="shared" si="22"/>
        <v>0</v>
      </c>
      <c r="AP85" s="532">
        <v>10880</v>
      </c>
      <c r="AQ85" s="532">
        <v>25355</v>
      </c>
      <c r="AR85" s="532">
        <v>24376</v>
      </c>
      <c r="AS85" s="532"/>
      <c r="AT85" s="532">
        <v>0</v>
      </c>
      <c r="AU85" s="532">
        <f t="shared" si="23"/>
        <v>60611</v>
      </c>
      <c r="AV85" s="532">
        <v>0</v>
      </c>
      <c r="AW85" s="532">
        <f t="shared" si="18"/>
        <v>3265</v>
      </c>
      <c r="AX85" s="532">
        <f t="shared" si="24"/>
        <v>3265</v>
      </c>
      <c r="AY85" s="532">
        <v>17506</v>
      </c>
      <c r="AZ85" s="532">
        <v>10173</v>
      </c>
      <c r="BA85" s="532">
        <v>15921</v>
      </c>
      <c r="BB85" s="532"/>
      <c r="BC85" s="532">
        <f t="shared" si="25"/>
        <v>43600</v>
      </c>
      <c r="BD85" s="532">
        <v>1512</v>
      </c>
      <c r="BE85" s="532">
        <v>0</v>
      </c>
      <c r="BF85" s="532">
        <v>0</v>
      </c>
      <c r="BG85" s="532">
        <v>15132</v>
      </c>
      <c r="BH85" s="532">
        <v>24435</v>
      </c>
      <c r="BI85" s="532">
        <f t="shared" si="26"/>
        <v>41079</v>
      </c>
      <c r="BJ85" s="532">
        <v>5652</v>
      </c>
      <c r="BK85" s="532">
        <v>1346</v>
      </c>
      <c r="BL85" s="532">
        <v>43840</v>
      </c>
      <c r="BM85" s="532">
        <v>5160</v>
      </c>
      <c r="BN85" s="532">
        <f t="shared" si="27"/>
        <v>55998</v>
      </c>
      <c r="BO85" s="532">
        <v>81170</v>
      </c>
      <c r="BP85" s="532">
        <v>0</v>
      </c>
      <c r="BQ85" s="532"/>
      <c r="BR85" s="532">
        <v>0</v>
      </c>
      <c r="BS85" s="532">
        <v>0</v>
      </c>
      <c r="BT85" s="532">
        <f t="shared" si="28"/>
        <v>81170</v>
      </c>
      <c r="BU85" s="532"/>
      <c r="BV85" s="532"/>
      <c r="BW85" s="532">
        <f t="shared" si="29"/>
        <v>0</v>
      </c>
      <c r="BX85" s="532">
        <v>0</v>
      </c>
      <c r="BY85" s="532">
        <f t="shared" si="30"/>
        <v>1137446.05</v>
      </c>
      <c r="BZ85" s="543">
        <f t="shared" si="31"/>
        <v>2274892.1</v>
      </c>
      <c r="CA85" s="441">
        <f t="shared" si="32"/>
        <v>772109.05</v>
      </c>
      <c r="CC85" s="316">
        <v>-0.3699999999953434</v>
      </c>
      <c r="DW85" s="483"/>
      <c r="DX85" s="442">
        <f>'Table 2'!AS84</f>
      </c>
      <c r="DY85" s="442">
        <f>'Table 2'!AT84</f>
      </c>
      <c r="DZ85" s="442">
        <f>'Table 2'!AU84</f>
      </c>
      <c r="EA85" s="442">
        <f>'Table 2'!AV84</f>
      </c>
      <c r="EB85" s="546"/>
      <c r="EC85" s="442">
        <f>'Table 2'!AX84</f>
      </c>
      <c r="ED85" s="442">
        <f>'Table 2'!AY84</f>
      </c>
      <c r="EE85" s="442">
        <f>'Table 2'!AZ84</f>
      </c>
      <c r="EF85" s="442">
        <f>'Table 2'!BA84</f>
      </c>
      <c r="EG85" s="442">
        <f>'Table 2'!BB84</f>
      </c>
      <c r="EH85" s="442">
        <f>'Table 2'!BC84</f>
      </c>
      <c r="EI85" s="442">
        <f>'Table 2'!BD84</f>
      </c>
      <c r="EJ85" s="442">
        <f>'Table 2'!BE84</f>
      </c>
      <c r="EK85" s="442">
        <f>'Table 2'!BF84</f>
      </c>
      <c r="EL85" s="442">
        <f>'Table 2'!BG84</f>
      </c>
      <c r="EM85" s="442">
        <f>'Table 2'!BH84</f>
      </c>
      <c r="EN85" s="546"/>
      <c r="EO85" s="434">
        <f t="shared" si="33"/>
        <v>0</v>
      </c>
    </row>
    <row r="86" spans="2:145" ht="12.75">
      <c r="B86" s="531">
        <v>6</v>
      </c>
      <c r="C86" s="531" t="s">
        <v>574</v>
      </c>
      <c r="D86" s="531">
        <v>3512</v>
      </c>
      <c r="E86" s="532"/>
      <c r="F86" s="532">
        <v>22.5</v>
      </c>
      <c r="G86" s="532"/>
      <c r="H86" s="532"/>
      <c r="I86" s="532">
        <v>38</v>
      </c>
      <c r="J86" s="532"/>
      <c r="K86" s="532">
        <v>41</v>
      </c>
      <c r="L86" s="532">
        <v>56</v>
      </c>
      <c r="M86" s="532"/>
      <c r="N86" s="532">
        <v>51</v>
      </c>
      <c r="O86" s="532">
        <v>36</v>
      </c>
      <c r="P86" s="532">
        <v>45</v>
      </c>
      <c r="Q86" s="532">
        <v>58</v>
      </c>
      <c r="R86" s="532"/>
      <c r="S86" s="532"/>
      <c r="T86" s="532"/>
      <c r="U86" s="532"/>
      <c r="V86" s="532"/>
      <c r="W86" s="532"/>
      <c r="X86" s="532"/>
      <c r="Y86" s="532"/>
      <c r="Z86" s="504"/>
      <c r="AA86" s="504"/>
      <c r="AB86" s="532">
        <f t="shared" si="19"/>
        <v>347.5</v>
      </c>
      <c r="AC86" s="532">
        <f t="shared" si="20"/>
        <v>735127.92</v>
      </c>
      <c r="AD86" s="532">
        <v>37134</v>
      </c>
      <c r="AE86" s="532"/>
      <c r="AF86" s="532">
        <v>38940</v>
      </c>
      <c r="AG86" s="532"/>
      <c r="AH86" s="561"/>
      <c r="AI86" s="532"/>
      <c r="AJ86" s="532">
        <f t="shared" si="21"/>
        <v>76074</v>
      </c>
      <c r="AK86" s="539"/>
      <c r="AL86" s="540"/>
      <c r="AM86" s="562"/>
      <c r="AN86" s="562"/>
      <c r="AO86" s="542">
        <f t="shared" si="22"/>
        <v>0</v>
      </c>
      <c r="AP86" s="532">
        <v>15232</v>
      </c>
      <c r="AQ86" s="532">
        <v>25025</v>
      </c>
      <c r="AR86" s="532">
        <v>24058</v>
      </c>
      <c r="AS86" s="532"/>
      <c r="AT86" s="532">
        <v>24598</v>
      </c>
      <c r="AU86" s="532">
        <f t="shared" si="23"/>
        <v>88913</v>
      </c>
      <c r="AV86" s="532">
        <v>0</v>
      </c>
      <c r="AW86" s="532">
        <f t="shared" si="18"/>
        <v>3265</v>
      </c>
      <c r="AX86" s="532">
        <f t="shared" si="24"/>
        <v>3265</v>
      </c>
      <c r="AY86" s="532">
        <v>17277</v>
      </c>
      <c r="AZ86" s="532">
        <v>12983</v>
      </c>
      <c r="BA86" s="532">
        <v>12623</v>
      </c>
      <c r="BB86" s="532"/>
      <c r="BC86" s="532">
        <f t="shared" si="25"/>
        <v>42883</v>
      </c>
      <c r="BD86" s="532">
        <v>1610</v>
      </c>
      <c r="BE86" s="532">
        <v>0</v>
      </c>
      <c r="BF86" s="532">
        <v>6833</v>
      </c>
      <c r="BG86" s="532">
        <v>19313</v>
      </c>
      <c r="BH86" s="532">
        <v>19373</v>
      </c>
      <c r="BI86" s="532">
        <f t="shared" si="26"/>
        <v>47129</v>
      </c>
      <c r="BJ86" s="532">
        <v>2877</v>
      </c>
      <c r="BK86" s="532">
        <v>1469</v>
      </c>
      <c r="BL86" s="532">
        <v>51768</v>
      </c>
      <c r="BM86" s="532">
        <v>7342</v>
      </c>
      <c r="BN86" s="532">
        <f t="shared" si="27"/>
        <v>63456</v>
      </c>
      <c r="BO86" s="532">
        <v>81170</v>
      </c>
      <c r="BP86" s="532">
        <v>0</v>
      </c>
      <c r="BQ86" s="532"/>
      <c r="BR86" s="532">
        <v>0</v>
      </c>
      <c r="BS86" s="532">
        <v>0</v>
      </c>
      <c r="BT86" s="532">
        <f t="shared" si="28"/>
        <v>81170</v>
      </c>
      <c r="BU86" s="532"/>
      <c r="BV86" s="532"/>
      <c r="BW86" s="532">
        <f t="shared" si="29"/>
        <v>0</v>
      </c>
      <c r="BX86" s="532">
        <v>0</v>
      </c>
      <c r="BY86" s="532">
        <f t="shared" si="30"/>
        <v>1138017.92</v>
      </c>
      <c r="BZ86" s="543">
        <f t="shared" si="31"/>
        <v>2276035.84</v>
      </c>
      <c r="CA86" s="441">
        <f t="shared" si="32"/>
        <v>735127.92</v>
      </c>
      <c r="CC86" s="316">
        <v>0.34000000008381903</v>
      </c>
      <c r="DW86" s="483"/>
      <c r="DX86" s="442">
        <f>'Table 2'!AS85</f>
      </c>
      <c r="DY86" s="442">
        <f>'Table 2'!AT85</f>
      </c>
      <c r="DZ86" s="442">
        <f>'Table 2'!AU85</f>
      </c>
      <c r="EA86" s="442">
        <f>'Table 2'!AV85</f>
      </c>
      <c r="EB86" s="546"/>
      <c r="EC86" s="442">
        <f>'Table 2'!AX85</f>
      </c>
      <c r="ED86" s="442">
        <f>'Table 2'!AY85</f>
      </c>
      <c r="EE86" s="442">
        <f>'Table 2'!AZ85</f>
      </c>
      <c r="EF86" s="442">
        <f>'Table 2'!BA85</f>
      </c>
      <c r="EG86" s="442">
        <f>'Table 2'!BB85</f>
      </c>
      <c r="EH86" s="442">
        <f>'Table 2'!BC85</f>
      </c>
      <c r="EI86" s="442">
        <f>'Table 2'!BD85</f>
      </c>
      <c r="EJ86" s="442">
        <f>'Table 2'!BE85</f>
      </c>
      <c r="EK86" s="442">
        <f>'Table 2'!BF85</f>
      </c>
      <c r="EL86" s="442">
        <f>'Table 2'!BG85</f>
      </c>
      <c r="EM86" s="442">
        <f>'Table 2'!BH85</f>
      </c>
      <c r="EN86" s="546"/>
      <c r="EO86" s="434">
        <f t="shared" si="33"/>
        <v>0</v>
      </c>
    </row>
    <row r="87" spans="2:145" ht="12.75">
      <c r="B87" s="531">
        <v>54</v>
      </c>
      <c r="C87" s="531" t="s">
        <v>575</v>
      </c>
      <c r="D87" s="531">
        <v>3516</v>
      </c>
      <c r="E87" s="532"/>
      <c r="F87" s="532">
        <v>10</v>
      </c>
      <c r="G87" s="532"/>
      <c r="H87" s="532"/>
      <c r="I87" s="532">
        <v>25</v>
      </c>
      <c r="J87" s="532"/>
      <c r="K87" s="532">
        <v>24</v>
      </c>
      <c r="L87" s="532">
        <v>22</v>
      </c>
      <c r="M87" s="532"/>
      <c r="N87" s="532">
        <v>21</v>
      </c>
      <c r="O87" s="532">
        <v>6</v>
      </c>
      <c r="P87" s="532">
        <v>25</v>
      </c>
      <c r="Q87" s="532">
        <v>30</v>
      </c>
      <c r="R87" s="532"/>
      <c r="S87" s="532"/>
      <c r="T87" s="532"/>
      <c r="U87" s="532"/>
      <c r="V87" s="532"/>
      <c r="W87" s="532"/>
      <c r="X87" s="532"/>
      <c r="Y87" s="532"/>
      <c r="Z87" s="504"/>
      <c r="AA87" s="504"/>
      <c r="AB87" s="532">
        <f t="shared" si="19"/>
        <v>163</v>
      </c>
      <c r="AC87" s="532">
        <f t="shared" si="20"/>
        <v>350305.98</v>
      </c>
      <c r="AD87" s="532">
        <v>27416</v>
      </c>
      <c r="AE87" s="532"/>
      <c r="AF87" s="532">
        <v>15340</v>
      </c>
      <c r="AG87" s="532"/>
      <c r="AH87" s="561"/>
      <c r="AI87" s="532"/>
      <c r="AJ87" s="532">
        <f t="shared" si="21"/>
        <v>42756</v>
      </c>
      <c r="AK87" s="539"/>
      <c r="AL87" s="540"/>
      <c r="AM87" s="562"/>
      <c r="AN87" s="562"/>
      <c r="AO87" s="542">
        <f t="shared" si="22"/>
        <v>0</v>
      </c>
      <c r="AP87" s="532">
        <v>14144</v>
      </c>
      <c r="AQ87" s="532">
        <v>12169</v>
      </c>
      <c r="AR87" s="532">
        <v>11700</v>
      </c>
      <c r="AS87" s="532"/>
      <c r="AT87" s="532">
        <v>0</v>
      </c>
      <c r="AU87" s="532">
        <f t="shared" si="23"/>
        <v>38013</v>
      </c>
      <c r="AV87" s="532">
        <v>0</v>
      </c>
      <c r="AW87" s="532">
        <f t="shared" si="18"/>
        <v>3265</v>
      </c>
      <c r="AX87" s="532">
        <f t="shared" si="24"/>
        <v>3265</v>
      </c>
      <c r="AY87" s="532">
        <v>8402</v>
      </c>
      <c r="AZ87" s="532">
        <v>7629</v>
      </c>
      <c r="BA87" s="532">
        <v>5720</v>
      </c>
      <c r="BB87" s="532"/>
      <c r="BC87" s="532">
        <f t="shared" si="25"/>
        <v>21751</v>
      </c>
      <c r="BD87" s="532">
        <v>1268</v>
      </c>
      <c r="BE87" s="532">
        <v>0</v>
      </c>
      <c r="BF87" s="532">
        <v>6833</v>
      </c>
      <c r="BG87" s="532">
        <v>11349</v>
      </c>
      <c r="BH87" s="532">
        <v>8779</v>
      </c>
      <c r="BI87" s="532">
        <f t="shared" si="26"/>
        <v>28229</v>
      </c>
      <c r="BJ87" s="532">
        <v>1994</v>
      </c>
      <c r="BK87" s="532">
        <v>1051</v>
      </c>
      <c r="BL87" s="532">
        <v>36929</v>
      </c>
      <c r="BM87" s="532">
        <v>3224</v>
      </c>
      <c r="BN87" s="532">
        <f t="shared" si="27"/>
        <v>43198</v>
      </c>
      <c r="BO87" s="532">
        <v>81170</v>
      </c>
      <c r="BP87" s="532">
        <v>36650</v>
      </c>
      <c r="BQ87" s="532"/>
      <c r="BR87" s="532">
        <v>0</v>
      </c>
      <c r="BS87" s="532">
        <v>0</v>
      </c>
      <c r="BT87" s="532">
        <f t="shared" si="28"/>
        <v>117820</v>
      </c>
      <c r="BU87" s="532"/>
      <c r="BV87" s="532"/>
      <c r="BW87" s="532">
        <f t="shared" si="29"/>
        <v>0</v>
      </c>
      <c r="BX87" s="532">
        <v>3588</v>
      </c>
      <c r="BY87" s="532">
        <f t="shared" si="30"/>
        <v>648925.98</v>
      </c>
      <c r="BZ87" s="543">
        <f t="shared" si="31"/>
        <v>1297851.96</v>
      </c>
      <c r="CA87" s="441">
        <f t="shared" si="32"/>
        <v>350305.98</v>
      </c>
      <c r="CC87" s="316">
        <v>-0.02000000001862645</v>
      </c>
      <c r="DW87" s="483"/>
      <c r="DX87" s="442">
        <f>'Table 2'!AS86</f>
      </c>
      <c r="DY87" s="442">
        <f>'Table 2'!AT86</f>
      </c>
      <c r="DZ87" s="442">
        <f>'Table 2'!AU86</f>
      </c>
      <c r="EA87" s="442">
        <f>'Table 2'!AV86</f>
      </c>
      <c r="EB87" s="546"/>
      <c r="EC87" s="442">
        <f>'Table 2'!AX86</f>
      </c>
      <c r="ED87" s="442">
        <f>'Table 2'!AY86</f>
      </c>
      <c r="EE87" s="442">
        <f>'Table 2'!AZ86</f>
      </c>
      <c r="EF87" s="442">
        <f>'Table 2'!BA86</f>
      </c>
      <c r="EG87" s="442">
        <f>'Table 2'!BB86</f>
      </c>
      <c r="EH87" s="442">
        <f>'Table 2'!BC86</f>
      </c>
      <c r="EI87" s="442">
        <f>'Table 2'!BD86</f>
      </c>
      <c r="EJ87" s="442">
        <f>'Table 2'!BE86</f>
      </c>
      <c r="EK87" s="442">
        <f>'Table 2'!BF86</f>
      </c>
      <c r="EL87" s="442">
        <f>'Table 2'!BG86</f>
      </c>
      <c r="EM87" s="442">
        <f>'Table 2'!BH86</f>
      </c>
      <c r="EN87" s="546"/>
      <c r="EO87" s="434">
        <f t="shared" si="33"/>
        <v>0</v>
      </c>
    </row>
    <row r="88" spans="2:145" ht="12.75">
      <c r="B88" s="531">
        <v>31</v>
      </c>
      <c r="C88" s="531" t="s">
        <v>576</v>
      </c>
      <c r="D88" s="531">
        <v>3517</v>
      </c>
      <c r="E88" s="532"/>
      <c r="F88" s="532">
        <v>29</v>
      </c>
      <c r="G88" s="532"/>
      <c r="H88" s="532"/>
      <c r="I88" s="532">
        <v>55</v>
      </c>
      <c r="J88" s="532"/>
      <c r="K88" s="532">
        <v>60</v>
      </c>
      <c r="L88" s="532">
        <v>42</v>
      </c>
      <c r="M88" s="532"/>
      <c r="N88" s="532">
        <v>49</v>
      </c>
      <c r="O88" s="532">
        <v>56</v>
      </c>
      <c r="P88" s="532">
        <v>60</v>
      </c>
      <c r="Q88" s="532">
        <v>55</v>
      </c>
      <c r="R88" s="532"/>
      <c r="S88" s="532"/>
      <c r="T88" s="532"/>
      <c r="U88" s="532"/>
      <c r="V88" s="532"/>
      <c r="W88" s="532"/>
      <c r="X88" s="532"/>
      <c r="Y88" s="532"/>
      <c r="Z88" s="504"/>
      <c r="AA88" s="504"/>
      <c r="AB88" s="532">
        <f t="shared" si="19"/>
        <v>406</v>
      </c>
      <c r="AC88" s="532">
        <f t="shared" si="20"/>
        <v>858870.9799999999</v>
      </c>
      <c r="AD88" s="532">
        <v>64551</v>
      </c>
      <c r="AE88" s="532"/>
      <c r="AF88" s="532">
        <v>12980</v>
      </c>
      <c r="AG88" s="532"/>
      <c r="AH88" s="561"/>
      <c r="AI88" s="532"/>
      <c r="AJ88" s="532">
        <f t="shared" si="21"/>
        <v>77531</v>
      </c>
      <c r="AK88" s="539"/>
      <c r="AL88" s="540"/>
      <c r="AM88" s="562"/>
      <c r="AN88" s="562"/>
      <c r="AO88" s="542">
        <f t="shared" si="22"/>
        <v>0</v>
      </c>
      <c r="AP88" s="532">
        <v>27199</v>
      </c>
      <c r="AQ88" s="532">
        <v>33613</v>
      </c>
      <c r="AR88" s="532">
        <v>32314</v>
      </c>
      <c r="AS88" s="532"/>
      <c r="AT88" s="532">
        <v>0</v>
      </c>
      <c r="AU88" s="532">
        <f t="shared" si="23"/>
        <v>93126</v>
      </c>
      <c r="AV88" s="532">
        <v>0</v>
      </c>
      <c r="AW88" s="532">
        <f t="shared" si="18"/>
        <v>3265</v>
      </c>
      <c r="AX88" s="532">
        <f t="shared" si="24"/>
        <v>3265</v>
      </c>
      <c r="AY88" s="532">
        <v>23205</v>
      </c>
      <c r="AZ88" s="532">
        <v>15794</v>
      </c>
      <c r="BA88" s="532">
        <v>14363</v>
      </c>
      <c r="BB88" s="532"/>
      <c r="BC88" s="532">
        <f t="shared" si="25"/>
        <v>53362</v>
      </c>
      <c r="BD88" s="532">
        <v>2878</v>
      </c>
      <c r="BE88" s="532">
        <v>0</v>
      </c>
      <c r="BF88" s="532">
        <v>6833</v>
      </c>
      <c r="BG88" s="532">
        <v>23494</v>
      </c>
      <c r="BH88" s="532">
        <v>22045</v>
      </c>
      <c r="BI88" s="532">
        <f t="shared" si="26"/>
        <v>55250</v>
      </c>
      <c r="BJ88" s="532">
        <v>49708</v>
      </c>
      <c r="BK88" s="532">
        <v>1920</v>
      </c>
      <c r="BL88" s="532">
        <v>48936</v>
      </c>
      <c r="BM88" s="532">
        <v>6090</v>
      </c>
      <c r="BN88" s="532">
        <f t="shared" si="27"/>
        <v>106654</v>
      </c>
      <c r="BO88" s="532">
        <v>81170</v>
      </c>
      <c r="BP88" s="532">
        <v>0</v>
      </c>
      <c r="BQ88" s="532"/>
      <c r="BR88" s="532">
        <v>0</v>
      </c>
      <c r="BS88" s="532">
        <v>0</v>
      </c>
      <c r="BT88" s="532">
        <f t="shared" si="28"/>
        <v>81170</v>
      </c>
      <c r="BU88" s="532"/>
      <c r="BV88" s="532"/>
      <c r="BW88" s="532">
        <f t="shared" si="29"/>
        <v>0</v>
      </c>
      <c r="BX88" s="532">
        <v>0</v>
      </c>
      <c r="BY88" s="532">
        <f t="shared" si="30"/>
        <v>1329228.98</v>
      </c>
      <c r="BZ88" s="543">
        <f t="shared" si="31"/>
        <v>2658457.96</v>
      </c>
      <c r="CA88" s="441">
        <f t="shared" si="32"/>
        <v>858870.9799999999</v>
      </c>
      <c r="CC88" s="316">
        <v>0.43000000005122274</v>
      </c>
      <c r="DW88" s="483"/>
      <c r="DX88" s="442">
        <f>'Table 2'!AS87</f>
      </c>
      <c r="DY88" s="442">
        <f>'Table 2'!AT87</f>
      </c>
      <c r="DZ88" s="442">
        <f>'Table 2'!AU87</f>
      </c>
      <c r="EA88" s="442">
        <f>'Table 2'!AV87</f>
      </c>
      <c r="EB88" s="546"/>
      <c r="EC88" s="442">
        <f>'Table 2'!AX87</f>
      </c>
      <c r="ED88" s="442">
        <f>'Table 2'!AY87</f>
      </c>
      <c r="EE88" s="442">
        <f>'Table 2'!AZ87</f>
      </c>
      <c r="EF88" s="442">
        <f>'Table 2'!BA87</f>
      </c>
      <c r="EG88" s="442">
        <f>'Table 2'!BB87</f>
      </c>
      <c r="EH88" s="442">
        <f>'Table 2'!BC87</f>
      </c>
      <c r="EI88" s="442">
        <f>'Table 2'!BD87</f>
      </c>
      <c r="EJ88" s="442">
        <f>'Table 2'!BE87</f>
      </c>
      <c r="EK88" s="442">
        <f>'Table 2'!BF87</f>
      </c>
      <c r="EL88" s="442">
        <f>'Table 2'!BG87</f>
      </c>
      <c r="EM88" s="442">
        <f>'Table 2'!BH87</f>
      </c>
      <c r="EN88" s="546"/>
      <c r="EO88" s="434">
        <f t="shared" si="33"/>
        <v>0</v>
      </c>
    </row>
    <row r="89" spans="2:145" ht="12.75">
      <c r="B89" s="531">
        <v>26</v>
      </c>
      <c r="C89" s="531" t="s">
        <v>577</v>
      </c>
      <c r="D89" s="531">
        <v>5200</v>
      </c>
      <c r="E89" s="532"/>
      <c r="F89" s="532">
        <v>26.25</v>
      </c>
      <c r="G89" s="532"/>
      <c r="H89" s="532"/>
      <c r="I89" s="532">
        <v>76.33333333333333</v>
      </c>
      <c r="J89" s="532"/>
      <c r="K89" s="532">
        <v>59.583333333333336</v>
      </c>
      <c r="L89" s="532">
        <v>63.25</v>
      </c>
      <c r="M89" s="532"/>
      <c r="N89" s="532">
        <v>53.5</v>
      </c>
      <c r="O89" s="532">
        <v>65.58333333333333</v>
      </c>
      <c r="P89" s="532">
        <v>67</v>
      </c>
      <c r="Q89" s="532">
        <v>68.16666666666667</v>
      </c>
      <c r="R89" s="532"/>
      <c r="S89" s="532"/>
      <c r="T89" s="532"/>
      <c r="U89" s="532"/>
      <c r="V89" s="532"/>
      <c r="W89" s="532"/>
      <c r="X89" s="532"/>
      <c r="Y89" s="532"/>
      <c r="Z89" s="504"/>
      <c r="AA89" s="504"/>
      <c r="AB89" s="532">
        <f t="shared" si="19"/>
        <v>479.66666666666663</v>
      </c>
      <c r="AC89" s="532">
        <f t="shared" si="20"/>
        <v>1037567.2091666667</v>
      </c>
      <c r="AD89" s="532">
        <v>76897.95</v>
      </c>
      <c r="AE89" s="532"/>
      <c r="AF89" s="532">
        <v>14160</v>
      </c>
      <c r="AG89" s="532"/>
      <c r="AH89" s="561"/>
      <c r="AI89" s="532"/>
      <c r="AJ89" s="532">
        <f t="shared" si="21"/>
        <v>91057.95</v>
      </c>
      <c r="AK89" s="539"/>
      <c r="AL89" s="540"/>
      <c r="AM89" s="562"/>
      <c r="AN89" s="562"/>
      <c r="AO89" s="542">
        <f t="shared" si="22"/>
        <v>0</v>
      </c>
      <c r="AP89" s="532">
        <v>27562</v>
      </c>
      <c r="AQ89" s="532">
        <v>34902</v>
      </c>
      <c r="AR89" s="532">
        <v>33552</v>
      </c>
      <c r="AS89" s="532"/>
      <c r="AT89" s="532">
        <v>0</v>
      </c>
      <c r="AU89" s="532">
        <f t="shared" si="23"/>
        <v>96016</v>
      </c>
      <c r="AV89" s="532">
        <v>0</v>
      </c>
      <c r="AW89" s="532">
        <f t="shared" si="18"/>
        <v>3265</v>
      </c>
      <c r="AX89" s="532">
        <f t="shared" si="24"/>
        <v>3265</v>
      </c>
      <c r="AY89" s="532">
        <v>24095</v>
      </c>
      <c r="AZ89" s="532">
        <v>21505.5</v>
      </c>
      <c r="BA89" s="532">
        <v>16147.416666666666</v>
      </c>
      <c r="BB89" s="532"/>
      <c r="BC89" s="532">
        <f t="shared" si="25"/>
        <v>61747.916666666664</v>
      </c>
      <c r="BD89" s="532">
        <v>627</v>
      </c>
      <c r="BE89" s="532">
        <v>35296</v>
      </c>
      <c r="BF89" s="532">
        <v>6833</v>
      </c>
      <c r="BG89" s="532">
        <v>31988.75</v>
      </c>
      <c r="BH89" s="532">
        <v>24782.916666666668</v>
      </c>
      <c r="BI89" s="532">
        <f t="shared" si="26"/>
        <v>99527.66666666667</v>
      </c>
      <c r="BJ89" s="532">
        <v>29421</v>
      </c>
      <c r="BK89" s="532">
        <v>2474</v>
      </c>
      <c r="BL89" s="532">
        <v>65560</v>
      </c>
      <c r="BM89" s="532">
        <v>5237</v>
      </c>
      <c r="BN89" s="532">
        <f t="shared" si="27"/>
        <v>102692</v>
      </c>
      <c r="BO89" s="532">
        <v>81170</v>
      </c>
      <c r="BP89" s="532">
        <v>0</v>
      </c>
      <c r="BQ89" s="532"/>
      <c r="BR89" s="532">
        <v>0</v>
      </c>
      <c r="BS89" s="532">
        <v>0</v>
      </c>
      <c r="BT89" s="532">
        <f t="shared" si="28"/>
        <v>81170</v>
      </c>
      <c r="BU89" s="532"/>
      <c r="BV89" s="532"/>
      <c r="BW89" s="532">
        <f t="shared" si="29"/>
        <v>0</v>
      </c>
      <c r="BX89" s="532">
        <v>0</v>
      </c>
      <c r="BY89" s="532">
        <f t="shared" si="30"/>
        <v>1573043.7425000002</v>
      </c>
      <c r="BZ89" s="543">
        <f t="shared" si="31"/>
        <v>3146087.4850000003</v>
      </c>
      <c r="CA89" s="441">
        <f t="shared" si="32"/>
        <v>1037567.2091666667</v>
      </c>
      <c r="CC89" s="316">
        <v>0.2900000000372529</v>
      </c>
      <c r="DW89" s="483"/>
      <c r="DX89" s="442">
        <f>'Table 2'!AS88</f>
      </c>
      <c r="DY89" s="442">
        <f>'Table 2'!AT88</f>
      </c>
      <c r="DZ89" s="442">
        <f>'Table 2'!AU88</f>
      </c>
      <c r="EA89" s="442">
        <f>'Table 2'!AV88</f>
      </c>
      <c r="EB89" s="546"/>
      <c r="EC89" s="442">
        <f>'Table 2'!AX88</f>
      </c>
      <c r="ED89" s="442">
        <f>'Table 2'!AY88</f>
      </c>
      <c r="EE89" s="442">
        <f>'Table 2'!AZ88</f>
      </c>
      <c r="EF89" s="442">
        <f>'Table 2'!BA88</f>
      </c>
      <c r="EG89" s="442">
        <f>'Table 2'!BB88</f>
      </c>
      <c r="EH89" s="442">
        <f>'Table 2'!BC88</f>
      </c>
      <c r="EI89" s="442">
        <f>'Table 2'!BD88</f>
      </c>
      <c r="EJ89" s="442">
        <f>'Table 2'!BE88</f>
      </c>
      <c r="EK89" s="442">
        <f>'Table 2'!BF88</f>
      </c>
      <c r="EL89" s="442">
        <f>'Table 2'!BG88</f>
      </c>
      <c r="EM89" s="442">
        <f>'Table 2'!BH88</f>
      </c>
      <c r="EN89" s="546"/>
      <c r="EO89" s="434">
        <f t="shared" si="33"/>
        <v>0</v>
      </c>
    </row>
    <row r="90" spans="2:145" ht="12.75">
      <c r="B90" s="531"/>
      <c r="C90" s="531"/>
      <c r="D90" s="531"/>
      <c r="E90" s="532"/>
      <c r="F90" s="532">
        <v>0</v>
      </c>
      <c r="G90" s="532"/>
      <c r="H90" s="532"/>
      <c r="I90" s="532">
        <v>0</v>
      </c>
      <c r="J90" s="532"/>
      <c r="K90" s="532">
        <v>0</v>
      </c>
      <c r="L90" s="532">
        <v>0</v>
      </c>
      <c r="M90" s="532"/>
      <c r="N90" s="532">
        <v>0</v>
      </c>
      <c r="O90" s="532">
        <v>0</v>
      </c>
      <c r="P90" s="532">
        <v>0</v>
      </c>
      <c r="Q90" s="532">
        <v>0</v>
      </c>
      <c r="R90" s="532"/>
      <c r="S90" s="532"/>
      <c r="T90" s="532"/>
      <c r="U90" s="532"/>
      <c r="V90" s="532"/>
      <c r="W90" s="532"/>
      <c r="X90" s="532"/>
      <c r="Y90" s="532"/>
      <c r="Z90" s="504"/>
      <c r="AA90" s="504"/>
      <c r="AB90" s="532">
        <f t="shared" si="19"/>
        <v>0</v>
      </c>
      <c r="AC90" s="532">
        <f t="shared" si="20"/>
        <v>0</v>
      </c>
      <c r="AD90" s="532">
        <v>0</v>
      </c>
      <c r="AE90" s="532"/>
      <c r="AF90" s="532">
        <v>0</v>
      </c>
      <c r="AG90" s="532"/>
      <c r="AH90" s="561"/>
      <c r="AI90" s="532"/>
      <c r="AJ90" s="532">
        <f>SUM(AD90:AI90)</f>
        <v>0</v>
      </c>
      <c r="AK90" s="539"/>
      <c r="AL90" s="540"/>
      <c r="AM90" s="562"/>
      <c r="AN90" s="562"/>
      <c r="AO90" s="542">
        <f>SUM(AM90:AN90)</f>
        <v>0</v>
      </c>
      <c r="AP90" s="532">
        <v>0</v>
      </c>
      <c r="AQ90" s="532">
        <v>0</v>
      </c>
      <c r="AR90" s="532">
        <v>0</v>
      </c>
      <c r="AS90" s="532"/>
      <c r="AT90" s="532">
        <v>0</v>
      </c>
      <c r="AU90" s="532">
        <f>SUM(AP90:AT90)</f>
        <v>0</v>
      </c>
      <c r="AV90" s="532">
        <v>0</v>
      </c>
      <c r="AW90" s="532"/>
      <c r="AX90" s="532">
        <f>SUM(AV90:AW90)</f>
        <v>0</v>
      </c>
      <c r="AY90" s="532">
        <v>0</v>
      </c>
      <c r="AZ90" s="532">
        <v>0</v>
      </c>
      <c r="BA90" s="532">
        <v>0</v>
      </c>
      <c r="BB90" s="532"/>
      <c r="BC90" s="532">
        <f>SUM(AY90:BB90)</f>
        <v>0</v>
      </c>
      <c r="BD90" s="532">
        <v>0</v>
      </c>
      <c r="BE90" s="532">
        <v>0</v>
      </c>
      <c r="BF90" s="532">
        <v>0</v>
      </c>
      <c r="BG90" s="532">
        <v>0</v>
      </c>
      <c r="BH90" s="532">
        <v>0</v>
      </c>
      <c r="BI90" s="532">
        <f>SUM(BD90:BH90)</f>
        <v>0</v>
      </c>
      <c r="BJ90" s="532">
        <v>0</v>
      </c>
      <c r="BK90" s="532">
        <v>0</v>
      </c>
      <c r="BL90" s="532">
        <v>0</v>
      </c>
      <c r="BM90" s="532">
        <v>0</v>
      </c>
      <c r="BN90" s="532">
        <f>SUM(BJ90:BM90)</f>
        <v>0</v>
      </c>
      <c r="BO90" s="532">
        <v>0</v>
      </c>
      <c r="BP90" s="532">
        <v>0</v>
      </c>
      <c r="BQ90" s="532"/>
      <c r="BR90" s="532">
        <v>0</v>
      </c>
      <c r="BS90" s="532">
        <v>0</v>
      </c>
      <c r="BT90" s="532">
        <f>SUM(BO90:BS90)</f>
        <v>0</v>
      </c>
      <c r="BU90" s="532"/>
      <c r="BV90" s="532"/>
      <c r="BW90" s="532">
        <f>SUM(BU90:BV90)</f>
        <v>0</v>
      </c>
      <c r="BX90" s="532">
        <v>0</v>
      </c>
      <c r="BY90" s="532">
        <f>IF(ISERROR(SUM(AC90,AJ90,AO90,AU90,AX90,BC90,BI90,BN90,BT90,BW90,BX90)),0,SUM(AC90,AJ90,AO90,AU90,AX90,BC90,BI90,BN90,BT90,BW90,BX90))</f>
        <v>0</v>
      </c>
      <c r="BZ90" s="543">
        <f t="shared" si="31"/>
        <v>0</v>
      </c>
      <c r="CA90" s="441">
        <f t="shared" si="32"/>
        <v>0</v>
      </c>
      <c r="CC90" s="316">
        <v>-0.38000000012107193</v>
      </c>
      <c r="DW90" s="483"/>
      <c r="DX90" s="442">
        <f>'Table 2'!AS89</f>
      </c>
      <c r="DY90" s="442">
        <f>'Table 2'!AT89</f>
      </c>
      <c r="DZ90" s="442">
        <f>'Table 2'!AU89</f>
      </c>
      <c r="EA90" s="442">
        <f>'Table 2'!AV89</f>
      </c>
      <c r="EB90" s="546"/>
      <c r="EC90" s="442">
        <f>'Table 2'!AX89</f>
      </c>
      <c r="ED90" s="442">
        <f>'Table 2'!AY89</f>
      </c>
      <c r="EE90" s="442">
        <f>'Table 2'!AZ89</f>
      </c>
      <c r="EF90" s="442">
        <f>'Table 2'!BA89</f>
      </c>
      <c r="EG90" s="442">
        <f>'Table 2'!BB89</f>
      </c>
      <c r="EH90" s="442">
        <f>'Table 2'!BC89</f>
      </c>
      <c r="EI90" s="442">
        <f>'Table 2'!BD89</f>
      </c>
      <c r="EJ90" s="442">
        <f>'Table 2'!BE89</f>
      </c>
      <c r="EK90" s="442">
        <f>'Table 2'!BF89</f>
      </c>
      <c r="EL90" s="442">
        <f>'Table 2'!BG89</f>
      </c>
      <c r="EM90" s="442">
        <f>'Table 2'!BH89</f>
      </c>
      <c r="EN90" s="546"/>
      <c r="EO90" s="434">
        <f>IF(LEN(TRIM(DW90&amp;DX90&amp;DY90&amp;DZ90&amp;EA90&amp;EB90&amp;EC90&amp;ED90&amp;EE90&amp;EF90&amp;EG90&amp;EH90&amp;EI90&amp;EJ90&amp;EK90&amp;EL90&amp;EM90&amp;EN90))&gt;0,1,0)</f>
        <v>0</v>
      </c>
    </row>
    <row r="91" spans="2:145" ht="12.75">
      <c r="B91" s="531"/>
      <c r="C91" s="531"/>
      <c r="D91" s="531"/>
      <c r="E91" s="532"/>
      <c r="F91" s="532">
        <v>0</v>
      </c>
      <c r="G91" s="532"/>
      <c r="H91" s="532"/>
      <c r="I91" s="532">
        <v>0</v>
      </c>
      <c r="J91" s="532"/>
      <c r="K91" s="532">
        <v>0</v>
      </c>
      <c r="L91" s="532">
        <v>0</v>
      </c>
      <c r="M91" s="532"/>
      <c r="N91" s="532">
        <v>0</v>
      </c>
      <c r="O91" s="532">
        <v>0</v>
      </c>
      <c r="P91" s="532">
        <v>0</v>
      </c>
      <c r="Q91" s="532">
        <v>0</v>
      </c>
      <c r="R91" s="532"/>
      <c r="S91" s="532"/>
      <c r="T91" s="532"/>
      <c r="U91" s="532"/>
      <c r="V91" s="532"/>
      <c r="W91" s="532"/>
      <c r="X91" s="532"/>
      <c r="Y91" s="532"/>
      <c r="Z91" s="504"/>
      <c r="AA91" s="504"/>
      <c r="AB91" s="532">
        <f t="shared" si="19"/>
        <v>0</v>
      </c>
      <c r="AC91" s="532">
        <f t="shared" si="20"/>
        <v>0</v>
      </c>
      <c r="AD91" s="532">
        <v>0</v>
      </c>
      <c r="AE91" s="532"/>
      <c r="AF91" s="532">
        <v>0</v>
      </c>
      <c r="AG91" s="532"/>
      <c r="AH91" s="561"/>
      <c r="AI91" s="532"/>
      <c r="AJ91" s="532">
        <f>SUM(AD91:AI91)</f>
        <v>0</v>
      </c>
      <c r="AK91" s="539"/>
      <c r="AL91" s="540"/>
      <c r="AM91" s="562"/>
      <c r="AN91" s="562"/>
      <c r="AO91" s="542">
        <f>SUM(AM91:AN91)</f>
        <v>0</v>
      </c>
      <c r="AP91" s="532">
        <v>0</v>
      </c>
      <c r="AQ91" s="532">
        <v>0</v>
      </c>
      <c r="AR91" s="532">
        <v>0</v>
      </c>
      <c r="AS91" s="532"/>
      <c r="AT91" s="532">
        <v>0</v>
      </c>
      <c r="AU91" s="532">
        <f>SUM(AP91:AT91)</f>
        <v>0</v>
      </c>
      <c r="AV91" s="532">
        <v>0</v>
      </c>
      <c r="AW91" s="532"/>
      <c r="AX91" s="532">
        <f>SUM(AV91:AW91)</f>
        <v>0</v>
      </c>
      <c r="AY91" s="532">
        <v>0</v>
      </c>
      <c r="AZ91" s="532">
        <v>0</v>
      </c>
      <c r="BA91" s="532">
        <v>0</v>
      </c>
      <c r="BB91" s="532"/>
      <c r="BC91" s="532">
        <f>SUM(AY91:BB91)</f>
        <v>0</v>
      </c>
      <c r="BD91" s="532">
        <v>0</v>
      </c>
      <c r="BE91" s="532">
        <v>0</v>
      </c>
      <c r="BF91" s="532">
        <v>0</v>
      </c>
      <c r="BG91" s="532">
        <v>0</v>
      </c>
      <c r="BH91" s="532">
        <v>0</v>
      </c>
      <c r="BI91" s="532">
        <f>SUM(BD91:BH91)</f>
        <v>0</v>
      </c>
      <c r="BJ91" s="532">
        <v>0</v>
      </c>
      <c r="BK91" s="532">
        <v>0</v>
      </c>
      <c r="BL91" s="532">
        <v>0</v>
      </c>
      <c r="BM91" s="532">
        <v>0</v>
      </c>
      <c r="BN91" s="532">
        <f>SUM(BJ91:BM91)</f>
        <v>0</v>
      </c>
      <c r="BO91" s="532">
        <v>0</v>
      </c>
      <c r="BP91" s="532">
        <v>0</v>
      </c>
      <c r="BQ91" s="532"/>
      <c r="BR91" s="532">
        <v>0</v>
      </c>
      <c r="BS91" s="532">
        <v>0</v>
      </c>
      <c r="BT91" s="532">
        <f>SUM(BO91:BS91)</f>
        <v>0</v>
      </c>
      <c r="BU91" s="532"/>
      <c r="BV91" s="532"/>
      <c r="BW91" s="532">
        <f>SUM(BU91:BV91)</f>
        <v>0</v>
      </c>
      <c r="BX91" s="532">
        <v>0</v>
      </c>
      <c r="BY91" s="532">
        <f>IF(ISERROR(SUM(AC91,AJ91,AO91,AU91,AX91,BC91,BI91,BN91,BT91,BW91,BX91)),0,SUM(AC91,AJ91,AO91,AU91,AX91,BC91,BI91,BN91,BT91,BW91,BX91))</f>
        <v>0</v>
      </c>
      <c r="BZ91" s="543">
        <f t="shared" si="31"/>
        <v>0</v>
      </c>
      <c r="CA91" s="441">
        <f t="shared" si="32"/>
        <v>0</v>
      </c>
      <c r="CC91" s="316">
        <v>0.0400000000372529</v>
      </c>
      <c r="DW91" s="483"/>
      <c r="DX91" s="442">
        <f>'Table 2'!AS90</f>
      </c>
      <c r="DY91" s="442">
        <f>'Table 2'!AT90</f>
      </c>
      <c r="DZ91" s="442">
        <f>'Table 2'!AU90</f>
      </c>
      <c r="EA91" s="442">
        <f>'Table 2'!AV90</f>
      </c>
      <c r="EB91" s="546"/>
      <c r="EC91" s="442">
        <f>'Table 2'!AX90</f>
      </c>
      <c r="ED91" s="442">
        <f>'Table 2'!AY90</f>
      </c>
      <c r="EE91" s="442">
        <f>'Table 2'!AZ90</f>
      </c>
      <c r="EF91" s="442">
        <f>'Table 2'!BA90</f>
      </c>
      <c r="EG91" s="442">
        <f>'Table 2'!BB90</f>
      </c>
      <c r="EH91" s="442">
        <f>'Table 2'!BC90</f>
      </c>
      <c r="EI91" s="442">
        <f>'Table 2'!BD90</f>
      </c>
      <c r="EJ91" s="442">
        <f>'Table 2'!BE90</f>
      </c>
      <c r="EK91" s="442">
        <f>'Table 2'!BF90</f>
      </c>
      <c r="EL91" s="442">
        <f>'Table 2'!BG90</f>
      </c>
      <c r="EM91" s="442">
        <f>'Table 2'!BH90</f>
      </c>
      <c r="EN91" s="546"/>
      <c r="EO91" s="434">
        <f>IF(LEN(TRIM(DW91&amp;DX91&amp;DY91&amp;DZ91&amp;EA91&amp;EB91&amp;EC91&amp;ED91&amp;EE91&amp;EF91&amp;EG91&amp;EH91&amp;EI91&amp;EJ91&amp;EK91&amp;EL91&amp;EM91&amp;EN91))&gt;0,1,0)</f>
        <v>0</v>
      </c>
    </row>
    <row r="92" spans="2:145" ht="12.75">
      <c r="B92" s="531"/>
      <c r="C92" s="531"/>
      <c r="D92" s="531"/>
      <c r="E92" s="532"/>
      <c r="F92" s="532">
        <v>0</v>
      </c>
      <c r="G92" s="532"/>
      <c r="H92" s="532"/>
      <c r="I92" s="532">
        <v>0</v>
      </c>
      <c r="J92" s="532"/>
      <c r="K92" s="532">
        <v>0</v>
      </c>
      <c r="L92" s="532">
        <v>0</v>
      </c>
      <c r="M92" s="532"/>
      <c r="N92" s="532">
        <v>0</v>
      </c>
      <c r="O92" s="532">
        <v>0</v>
      </c>
      <c r="P92" s="532">
        <v>0</v>
      </c>
      <c r="Q92" s="532">
        <v>0</v>
      </c>
      <c r="R92" s="532"/>
      <c r="S92" s="532"/>
      <c r="T92" s="532"/>
      <c r="U92" s="532"/>
      <c r="V92" s="532"/>
      <c r="W92" s="532"/>
      <c r="X92" s="532"/>
      <c r="Y92" s="532"/>
      <c r="Z92" s="504"/>
      <c r="AA92" s="504"/>
      <c r="AB92" s="532">
        <f t="shared" si="19"/>
        <v>0</v>
      </c>
      <c r="AC92" s="532">
        <f t="shared" si="20"/>
        <v>0</v>
      </c>
      <c r="AD92" s="532">
        <v>0</v>
      </c>
      <c r="AE92" s="532"/>
      <c r="AF92" s="532">
        <v>0</v>
      </c>
      <c r="AG92" s="532"/>
      <c r="AH92" s="561"/>
      <c r="AI92" s="532"/>
      <c r="AJ92" s="532">
        <f>SUM(AD92:AI92)</f>
        <v>0</v>
      </c>
      <c r="AK92" s="539"/>
      <c r="AL92" s="540"/>
      <c r="AM92" s="562"/>
      <c r="AN92" s="562"/>
      <c r="AO92" s="542">
        <f>SUM(AM92:AN92)</f>
        <v>0</v>
      </c>
      <c r="AP92" s="532">
        <v>0</v>
      </c>
      <c r="AQ92" s="532">
        <v>0</v>
      </c>
      <c r="AR92" s="532">
        <v>0</v>
      </c>
      <c r="AS92" s="532"/>
      <c r="AT92" s="532">
        <v>0</v>
      </c>
      <c r="AU92" s="532">
        <f>SUM(AP92:AT92)</f>
        <v>0</v>
      </c>
      <c r="AV92" s="532">
        <v>0</v>
      </c>
      <c r="AW92" s="532"/>
      <c r="AX92" s="532">
        <f>SUM(AV92:AW92)</f>
        <v>0</v>
      </c>
      <c r="AY92" s="532">
        <v>0</v>
      </c>
      <c r="AZ92" s="532">
        <v>0</v>
      </c>
      <c r="BA92" s="532">
        <v>0</v>
      </c>
      <c r="BB92" s="532"/>
      <c r="BC92" s="532">
        <f>SUM(AY92:BB92)</f>
        <v>0</v>
      </c>
      <c r="BD92" s="532">
        <v>0</v>
      </c>
      <c r="BE92" s="532">
        <v>0</v>
      </c>
      <c r="BF92" s="532">
        <v>0</v>
      </c>
      <c r="BG92" s="532">
        <v>0</v>
      </c>
      <c r="BH92" s="532">
        <v>0</v>
      </c>
      <c r="BI92" s="532">
        <f>SUM(BD92:BH92)</f>
        <v>0</v>
      </c>
      <c r="BJ92" s="532">
        <v>0</v>
      </c>
      <c r="BK92" s="532">
        <v>0</v>
      </c>
      <c r="BL92" s="532">
        <v>0</v>
      </c>
      <c r="BM92" s="532">
        <v>0</v>
      </c>
      <c r="BN92" s="532">
        <f>SUM(BJ92:BM92)</f>
        <v>0</v>
      </c>
      <c r="BO92" s="532">
        <v>0</v>
      </c>
      <c r="BP92" s="532">
        <v>0</v>
      </c>
      <c r="BQ92" s="532"/>
      <c r="BR92" s="532">
        <v>0</v>
      </c>
      <c r="BS92" s="532">
        <v>0</v>
      </c>
      <c r="BT92" s="532">
        <f>SUM(BO92:BS92)</f>
        <v>0</v>
      </c>
      <c r="BU92" s="532"/>
      <c r="BV92" s="532"/>
      <c r="BW92" s="532">
        <f>SUM(BU92:BV92)</f>
        <v>0</v>
      </c>
      <c r="BX92" s="532">
        <v>0</v>
      </c>
      <c r="BY92" s="532">
        <f>IF(ISERROR(SUM(AC92,AJ92,AO92,AU92,AX92,BC92,BI92,BN92,BT92,BW92,BX92)),0,SUM(AC92,AJ92,AO92,AU92,AX92,BC92,BI92,BN92,BT92,BW92,BX92))</f>
        <v>0</v>
      </c>
      <c r="BZ92" s="543">
        <f t="shared" si="31"/>
        <v>0</v>
      </c>
      <c r="CA92" s="441">
        <f t="shared" si="32"/>
        <v>0</v>
      </c>
      <c r="CC92" s="316">
        <v>-0.2000000000698492</v>
      </c>
      <c r="DW92" s="483"/>
      <c r="DX92" s="442">
        <f>'Table 2'!AS91</f>
      </c>
      <c r="DY92" s="442">
        <f>'Table 2'!AT91</f>
      </c>
      <c r="DZ92" s="442">
        <f>'Table 2'!AU91</f>
      </c>
      <c r="EA92" s="442">
        <f>'Table 2'!AV91</f>
      </c>
      <c r="EB92" s="546"/>
      <c r="EC92" s="442">
        <f>'Table 2'!AX91</f>
      </c>
      <c r="ED92" s="442">
        <f>'Table 2'!AY91</f>
      </c>
      <c r="EE92" s="442">
        <f>'Table 2'!AZ91</f>
      </c>
      <c r="EF92" s="442">
        <f>'Table 2'!BA91</f>
      </c>
      <c r="EG92" s="442">
        <f>'Table 2'!BB91</f>
      </c>
      <c r="EH92" s="442">
        <f>'Table 2'!BC91</f>
      </c>
      <c r="EI92" s="442">
        <f>'Table 2'!BD91</f>
      </c>
      <c r="EJ92" s="442">
        <f>'Table 2'!BE91</f>
      </c>
      <c r="EK92" s="442">
        <f>'Table 2'!BF91</f>
      </c>
      <c r="EL92" s="442">
        <f>'Table 2'!BG91</f>
      </c>
      <c r="EM92" s="442">
        <f>'Table 2'!BH91</f>
      </c>
      <c r="EN92" s="546"/>
      <c r="EO92" s="434">
        <f>IF(LEN(TRIM(DW92&amp;DX92&amp;DY92&amp;DZ92&amp;EA92&amp;EB92&amp;EC92&amp;ED92&amp;EE92&amp;EF92&amp;EG92&amp;EH92&amp;EI92&amp;EJ92&amp;EK92&amp;EL92&amp;EM92&amp;EN92))&gt;0,1,0)</f>
        <v>0</v>
      </c>
    </row>
    <row r="93" spans="2:145" ht="13.5" thickBot="1">
      <c r="B93" s="563"/>
      <c r="C93" s="563"/>
      <c r="D93" s="563"/>
      <c r="E93" s="564"/>
      <c r="F93" s="564"/>
      <c r="G93" s="564"/>
      <c r="H93" s="564"/>
      <c r="I93" s="564"/>
      <c r="J93" s="564"/>
      <c r="K93" s="564"/>
      <c r="L93" s="564"/>
      <c r="M93" s="564"/>
      <c r="N93" s="564"/>
      <c r="O93" s="564"/>
      <c r="P93" s="564"/>
      <c r="Q93" s="564"/>
      <c r="R93" s="564"/>
      <c r="S93" s="564"/>
      <c r="T93" s="564"/>
      <c r="U93" s="564"/>
      <c r="V93" s="564"/>
      <c r="W93" s="564"/>
      <c r="X93" s="564"/>
      <c r="Y93" s="564"/>
      <c r="Z93" s="565"/>
      <c r="AA93" s="565"/>
      <c r="AB93" s="564"/>
      <c r="AC93" s="564"/>
      <c r="AD93" s="564"/>
      <c r="AE93" s="564"/>
      <c r="AF93" s="564"/>
      <c r="AG93" s="564"/>
      <c r="AH93" s="564"/>
      <c r="AI93" s="564"/>
      <c r="AJ93" s="564"/>
      <c r="AK93" s="566"/>
      <c r="AL93" s="566"/>
      <c r="AM93" s="567"/>
      <c r="AN93" s="567"/>
      <c r="AO93" s="567"/>
      <c r="AP93" s="564"/>
      <c r="AQ93" s="564"/>
      <c r="AR93" s="564"/>
      <c r="AS93" s="564"/>
      <c r="AT93" s="564"/>
      <c r="AU93" s="564"/>
      <c r="AV93" s="564"/>
      <c r="AW93" s="564"/>
      <c r="AX93" s="564"/>
      <c r="AY93" s="564"/>
      <c r="AZ93" s="564"/>
      <c r="BA93" s="564"/>
      <c r="BB93" s="564"/>
      <c r="BC93" s="564"/>
      <c r="BD93" s="564"/>
      <c r="BE93" s="564"/>
      <c r="BF93" s="564"/>
      <c r="BG93" s="564"/>
      <c r="BH93" s="564"/>
      <c r="BI93" s="564"/>
      <c r="BJ93" s="564"/>
      <c r="BK93" s="564"/>
      <c r="BL93" s="564"/>
      <c r="BM93" s="564"/>
      <c r="BN93" s="564"/>
      <c r="BO93" s="564"/>
      <c r="BP93" s="564"/>
      <c r="BQ93" s="564"/>
      <c r="BR93" s="564"/>
      <c r="BS93" s="564"/>
      <c r="BT93" s="564"/>
      <c r="BU93" s="564"/>
      <c r="BV93" s="564"/>
      <c r="BW93" s="564"/>
      <c r="BX93" s="564"/>
      <c r="BY93" s="547"/>
      <c r="BZ93" s="66"/>
      <c r="CA93" s="66"/>
      <c r="CB93" s="568"/>
      <c r="DW93" s="432"/>
      <c r="DX93" s="432"/>
      <c r="DY93" s="432"/>
      <c r="DZ93" s="432"/>
      <c r="EA93" s="432"/>
      <c r="EB93" s="432"/>
      <c r="EC93" s="432"/>
      <c r="ED93" s="432"/>
      <c r="EE93" s="432"/>
      <c r="EF93" s="432"/>
      <c r="EG93" s="432"/>
      <c r="EH93" s="432"/>
      <c r="EI93" s="432"/>
      <c r="EJ93" s="432"/>
      <c r="EK93" s="432"/>
      <c r="EL93" s="432"/>
      <c r="EM93" s="432"/>
      <c r="EN93" s="432"/>
      <c r="EO93" s="432"/>
    </row>
    <row r="94" spans="2:146" ht="14.25" thickBot="1" thickTop="1">
      <c r="B94" s="563"/>
      <c r="C94" s="1166" t="s">
        <v>578</v>
      </c>
      <c r="D94" s="1166"/>
      <c r="E94" s="549">
        <f aca="true" t="shared" si="34" ref="E94:Y94">SUM(E26:E93)</f>
        <v>0</v>
      </c>
      <c r="F94" s="549">
        <f t="shared" si="34"/>
        <v>1058.5</v>
      </c>
      <c r="G94" s="549">
        <f t="shared" si="34"/>
        <v>0</v>
      </c>
      <c r="H94" s="549">
        <f t="shared" si="34"/>
        <v>0</v>
      </c>
      <c r="I94" s="549">
        <f t="shared" si="34"/>
        <v>2519.0000000000005</v>
      </c>
      <c r="J94" s="549">
        <f t="shared" si="34"/>
        <v>0</v>
      </c>
      <c r="K94" s="549">
        <f t="shared" si="34"/>
        <v>2482.0000000000005</v>
      </c>
      <c r="L94" s="549">
        <f t="shared" si="34"/>
        <v>2421</v>
      </c>
      <c r="M94" s="549">
        <f t="shared" si="34"/>
        <v>0</v>
      </c>
      <c r="N94" s="549">
        <f t="shared" si="34"/>
        <v>2300</v>
      </c>
      <c r="O94" s="549">
        <f t="shared" si="34"/>
        <v>2373</v>
      </c>
      <c r="P94" s="549">
        <f t="shared" si="34"/>
        <v>2417</v>
      </c>
      <c r="Q94" s="549">
        <f t="shared" si="34"/>
        <v>2539.9999999999995</v>
      </c>
      <c r="R94" s="549">
        <f t="shared" si="34"/>
        <v>0</v>
      </c>
      <c r="S94" s="549">
        <f t="shared" si="34"/>
        <v>0</v>
      </c>
      <c r="T94" s="549">
        <f t="shared" si="34"/>
        <v>0</v>
      </c>
      <c r="U94" s="549">
        <f t="shared" si="34"/>
        <v>0</v>
      </c>
      <c r="V94" s="549">
        <f t="shared" si="34"/>
        <v>0</v>
      </c>
      <c r="W94" s="549">
        <f t="shared" si="34"/>
        <v>0</v>
      </c>
      <c r="X94" s="549">
        <f t="shared" si="34"/>
        <v>0</v>
      </c>
      <c r="Y94" s="549">
        <f t="shared" si="34"/>
        <v>0</v>
      </c>
      <c r="Z94" s="504"/>
      <c r="AA94" s="504"/>
      <c r="AB94" s="549">
        <f aca="true" t="shared" si="35" ref="AB94:AG94">SUM(AB26:AB93)</f>
        <v>18110.5</v>
      </c>
      <c r="AC94" s="549">
        <f t="shared" si="35"/>
        <v>38845846.96</v>
      </c>
      <c r="AD94" s="549">
        <f t="shared" si="35"/>
        <v>2817553.9000000004</v>
      </c>
      <c r="AE94" s="549">
        <f t="shared" si="35"/>
        <v>0</v>
      </c>
      <c r="AF94" s="549">
        <f t="shared" si="35"/>
        <v>550175</v>
      </c>
      <c r="AG94" s="549">
        <f t="shared" si="35"/>
        <v>0</v>
      </c>
      <c r="AH94" s="569"/>
      <c r="AI94" s="549">
        <f>SUM(AI26:AI93)</f>
        <v>0</v>
      </c>
      <c r="AJ94" s="549">
        <f>SUM(AJ26:AJ93)</f>
        <v>3367728.9000000004</v>
      </c>
      <c r="AK94" s="554"/>
      <c r="AL94" s="555"/>
      <c r="AM94" s="556">
        <f aca="true" t="shared" si="36" ref="AM94:BY94">SUM(AM26:AM93)</f>
        <v>0</v>
      </c>
      <c r="AN94" s="556">
        <f t="shared" si="36"/>
        <v>0</v>
      </c>
      <c r="AO94" s="557">
        <f t="shared" si="36"/>
        <v>0</v>
      </c>
      <c r="AP94" s="549">
        <f t="shared" si="36"/>
        <v>943991</v>
      </c>
      <c r="AQ94" s="549">
        <f t="shared" si="36"/>
        <v>799732</v>
      </c>
      <c r="AR94" s="549">
        <f t="shared" si="36"/>
        <v>768835</v>
      </c>
      <c r="AS94" s="549">
        <f t="shared" si="36"/>
        <v>0</v>
      </c>
      <c r="AT94" s="549">
        <f t="shared" si="36"/>
        <v>315641</v>
      </c>
      <c r="AU94" s="549">
        <f t="shared" si="36"/>
        <v>2828199</v>
      </c>
      <c r="AV94" s="485">
        <f t="shared" si="36"/>
        <v>270661</v>
      </c>
      <c r="AW94" s="485">
        <f t="shared" si="36"/>
        <v>205150.83333333334</v>
      </c>
      <c r="AX94" s="485">
        <f t="shared" si="36"/>
        <v>475811.8333333333</v>
      </c>
      <c r="AY94" s="485">
        <f t="shared" si="36"/>
        <v>552121</v>
      </c>
      <c r="AZ94" s="485">
        <f t="shared" si="36"/>
        <v>290992</v>
      </c>
      <c r="BA94" s="485">
        <f t="shared" si="36"/>
        <v>281941</v>
      </c>
      <c r="BB94" s="485">
        <f t="shared" si="36"/>
        <v>0</v>
      </c>
      <c r="BC94" s="485">
        <f t="shared" si="36"/>
        <v>1125054</v>
      </c>
      <c r="BD94" s="485">
        <f t="shared" si="36"/>
        <v>39270</v>
      </c>
      <c r="BE94" s="485">
        <f t="shared" si="36"/>
        <v>35296</v>
      </c>
      <c r="BF94" s="485">
        <f t="shared" si="36"/>
        <v>60358</v>
      </c>
      <c r="BG94" s="485">
        <f t="shared" si="36"/>
        <v>432849</v>
      </c>
      <c r="BH94" s="485">
        <f t="shared" si="36"/>
        <v>432717.00000000006</v>
      </c>
      <c r="BI94" s="485">
        <f t="shared" si="36"/>
        <v>1000489.9999999999</v>
      </c>
      <c r="BJ94" s="485">
        <f t="shared" si="36"/>
        <v>787696</v>
      </c>
      <c r="BK94" s="485">
        <f t="shared" si="36"/>
        <v>101502</v>
      </c>
      <c r="BL94" s="485">
        <f t="shared" si="36"/>
        <v>2472671</v>
      </c>
      <c r="BM94" s="485">
        <f t="shared" si="36"/>
        <v>265308</v>
      </c>
      <c r="BN94" s="485">
        <f t="shared" si="36"/>
        <v>3627177</v>
      </c>
      <c r="BO94" s="549">
        <f t="shared" si="36"/>
        <v>5092459.166666667</v>
      </c>
      <c r="BP94" s="549">
        <f t="shared" si="36"/>
        <v>577659</v>
      </c>
      <c r="BQ94" s="549">
        <f>SUM(BQ26:BQ93)</f>
        <v>0</v>
      </c>
      <c r="BR94" s="549">
        <f>SUM(BR26:BR93)</f>
        <v>325895</v>
      </c>
      <c r="BS94" s="549">
        <f t="shared" si="36"/>
        <v>70942</v>
      </c>
      <c r="BT94" s="549">
        <f t="shared" si="36"/>
        <v>6066955.166666667</v>
      </c>
      <c r="BU94" s="549">
        <f t="shared" si="36"/>
        <v>0</v>
      </c>
      <c r="BV94" s="549">
        <f t="shared" si="36"/>
        <v>0</v>
      </c>
      <c r="BW94" s="549">
        <f t="shared" si="36"/>
        <v>0</v>
      </c>
      <c r="BX94" s="549">
        <f t="shared" si="36"/>
        <v>59824</v>
      </c>
      <c r="BY94" s="549">
        <f t="shared" si="36"/>
        <v>57397086.85999998</v>
      </c>
      <c r="BZ94" s="67"/>
      <c r="CA94" s="441"/>
      <c r="CC94" s="549">
        <f>SUM(CC26:CC93)</f>
        <v>-3.1400000009743962</v>
      </c>
      <c r="DW94" s="432" t="str">
        <f>C94</f>
        <v>Primary Total (excluding middle deemed)</v>
      </c>
      <c r="DX94" s="432"/>
      <c r="DY94" s="432"/>
      <c r="DZ94" s="570"/>
      <c r="EA94" s="570"/>
      <c r="EB94" s="570"/>
      <c r="EC94" s="570"/>
      <c r="ED94" s="570"/>
      <c r="EE94" s="570"/>
      <c r="EF94" s="570"/>
      <c r="EG94" s="570"/>
      <c r="EH94" s="570"/>
      <c r="EI94" s="570"/>
      <c r="EJ94" s="570"/>
      <c r="EK94" s="570"/>
      <c r="EL94" s="570"/>
      <c r="EM94" s="570"/>
      <c r="EN94" s="570"/>
      <c r="EO94" s="435"/>
      <c r="EP94" s="435"/>
    </row>
    <row r="95" spans="3:145" ht="13.5" thickTop="1">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68"/>
      <c r="AL95" s="568"/>
      <c r="AM95" s="571"/>
      <c r="AN95" s="571"/>
      <c r="AO95" s="571"/>
      <c r="AP95" s="568"/>
      <c r="AQ95" s="568"/>
      <c r="AR95" s="568"/>
      <c r="AS95" s="568"/>
      <c r="AT95" s="568"/>
      <c r="AU95" s="568"/>
      <c r="AV95" s="568"/>
      <c r="AW95" s="568"/>
      <c r="AX95" s="568"/>
      <c r="AY95" s="568"/>
      <c r="AZ95" s="568"/>
      <c r="BA95" s="568"/>
      <c r="BB95" s="568"/>
      <c r="BC95" s="568"/>
      <c r="BD95" s="568"/>
      <c r="BE95" s="568"/>
      <c r="BF95" s="568"/>
      <c r="BG95" s="568"/>
      <c r="BH95" s="568"/>
      <c r="BI95" s="568"/>
      <c r="BJ95" s="568"/>
      <c r="BK95" s="568"/>
      <c r="BL95" s="568"/>
      <c r="BM95" s="568"/>
      <c r="BN95" s="568"/>
      <c r="BO95" s="568"/>
      <c r="BP95" s="568"/>
      <c r="BQ95" s="568"/>
      <c r="BR95" s="568"/>
      <c r="BS95" s="568"/>
      <c r="BT95" s="568"/>
      <c r="BU95" s="568"/>
      <c r="BV95" s="568"/>
      <c r="BW95" s="568"/>
      <c r="BX95" s="568"/>
      <c r="BY95" s="564"/>
      <c r="DW95" s="432"/>
      <c r="DX95" s="484"/>
      <c r="DY95" s="484"/>
      <c r="DZ95" s="484"/>
      <c r="EA95" s="484"/>
      <c r="EB95" s="484"/>
      <c r="EC95" s="484"/>
      <c r="ED95" s="484"/>
      <c r="EE95" s="484"/>
      <c r="EF95" s="484"/>
      <c r="EG95" s="484"/>
      <c r="EH95" s="484"/>
      <c r="EI95" s="484"/>
      <c r="EJ95" s="484"/>
      <c r="EK95" s="432"/>
      <c r="EL95" s="484"/>
      <c r="EM95" s="484"/>
      <c r="EN95" s="484"/>
      <c r="EO95" s="484"/>
    </row>
    <row r="96" spans="3:141" ht="12.75">
      <c r="C96" s="1166" t="s">
        <v>579</v>
      </c>
      <c r="D96" s="1166"/>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68"/>
      <c r="AL96" s="568"/>
      <c r="AM96" s="571"/>
      <c r="AN96" s="571"/>
      <c r="AO96" s="571"/>
      <c r="AP96" s="568"/>
      <c r="AQ96" s="568"/>
      <c r="AR96" s="568"/>
      <c r="AS96" s="568"/>
      <c r="AT96" s="568"/>
      <c r="AU96" s="568"/>
      <c r="AV96" s="568"/>
      <c r="AW96" s="568"/>
      <c r="AX96" s="568"/>
      <c r="AY96" s="572"/>
      <c r="AZ96" s="572"/>
      <c r="BA96" s="572"/>
      <c r="BB96" s="572"/>
      <c r="BC96" s="572"/>
      <c r="BD96" s="572"/>
      <c r="BE96" s="572"/>
      <c r="BF96" s="572"/>
      <c r="BG96" s="572"/>
      <c r="BH96" s="572"/>
      <c r="BI96" s="572"/>
      <c r="BJ96" s="572"/>
      <c r="BK96" s="572"/>
      <c r="BL96" s="572"/>
      <c r="BM96" s="572"/>
      <c r="BN96" s="572"/>
      <c r="BO96" s="568"/>
      <c r="BP96" s="568"/>
      <c r="BQ96" s="568"/>
      <c r="BR96" s="568"/>
      <c r="BS96" s="568"/>
      <c r="BT96" s="568"/>
      <c r="BU96" s="568"/>
      <c r="BV96" s="568"/>
      <c r="BW96" s="568"/>
      <c r="BX96" s="573"/>
      <c r="BY96" s="574"/>
      <c r="DW96" s="432" t="str">
        <f>C96</f>
        <v>Primary Middle Deemed </v>
      </c>
      <c r="EK96" s="432"/>
    </row>
    <row r="97" spans="2:145" ht="12.75">
      <c r="B97" s="480"/>
      <c r="C97" s="531"/>
      <c r="D97" s="531"/>
      <c r="E97" s="481"/>
      <c r="F97" s="481"/>
      <c r="G97" s="481"/>
      <c r="H97" s="481"/>
      <c r="I97" s="481"/>
      <c r="J97" s="481"/>
      <c r="K97" s="481"/>
      <c r="L97" s="481"/>
      <c r="M97" s="481"/>
      <c r="N97" s="481"/>
      <c r="O97" s="481"/>
      <c r="P97" s="481"/>
      <c r="Q97" s="481"/>
      <c r="R97" s="481"/>
      <c r="S97" s="481"/>
      <c r="T97" s="481"/>
      <c r="U97" s="481"/>
      <c r="V97" s="481"/>
      <c r="W97" s="481"/>
      <c r="X97" s="481"/>
      <c r="Y97" s="481"/>
      <c r="Z97" s="504"/>
      <c r="AA97" s="504"/>
      <c r="AB97" s="481">
        <f>SUM(E97:Y97)</f>
        <v>0</v>
      </c>
      <c r="AC97" s="481">
        <f>IF(ISERROR($E$15*E97),0,$E$15*E97)+IF(ISERROR($F$15*F97),0,$F$15*F97)+IF(ISERROR($G$15*G97),0,$G$15*G97)+IF(ISERROR($H$15*H97),0,$H$15*H97)+IF(ISERROR($I$15*I97),0,$I$15*I97)+IF(ISERROR($J$15*J97),0,$J$15*J97)+IF(ISERROR($K$15*K97),0,$K$15*K97)+IF(ISERROR($L$15*L97),0,$L$15*L97)+IF(ISERROR($M$15*M97),0,$M$15*M97)+IF(ISERROR($N$15*N97),0,$N$15*N97)+IF(ISERROR($O$15*O97),0,$O$15*O97)+IF(ISERROR($P$15*P97),0,$P$15*P97)+IF(ISERROR($Q$15*Q97),0,$Q$15*Q97)+IF(ISERROR($R$15*R97),0,$R$15*R97)+IF(ISERROR($S$15*S97),0,$S$15*S97)+IF(ISERROR($T$15*T97),0,$T$15*T97)+IF(ISERROR($U$15*U97),0,$U$15*U97)+IF(ISERROR($V$15*V97),0,$V$15*V97)+IF(ISERROR($W$15*W97),0,$W$15*W97)+IF(ISERROR($X$15*X97),0,$X$15*X97)+IF(ISERROR($Y$15*Y97),0,$Y$15*Y97)</f>
        <v>0</v>
      </c>
      <c r="AD97" s="481"/>
      <c r="AE97" s="481"/>
      <c r="AF97" s="481"/>
      <c r="AG97" s="481"/>
      <c r="AH97" s="561"/>
      <c r="AI97" s="481"/>
      <c r="AJ97" s="532">
        <f>SUM(AD97:AI97)</f>
        <v>0</v>
      </c>
      <c r="AK97" s="539"/>
      <c r="AL97" s="540"/>
      <c r="AM97" s="562"/>
      <c r="AN97" s="562"/>
      <c r="AO97" s="542">
        <f>SUM(AM97:AN97)</f>
        <v>0</v>
      </c>
      <c r="AP97" s="481"/>
      <c r="AQ97" s="481"/>
      <c r="AR97" s="481"/>
      <c r="AS97" s="481"/>
      <c r="AT97" s="481"/>
      <c r="AU97" s="532">
        <f>SUM(AP97:AT97)</f>
        <v>0</v>
      </c>
      <c r="AV97" s="532"/>
      <c r="AW97" s="532"/>
      <c r="AX97" s="532">
        <f>SUM(AV97:AW97)</f>
        <v>0</v>
      </c>
      <c r="AY97" s="532"/>
      <c r="AZ97" s="532"/>
      <c r="BA97" s="532"/>
      <c r="BB97" s="532"/>
      <c r="BC97" s="532">
        <f>SUM(AY97:BB97)</f>
        <v>0</v>
      </c>
      <c r="BD97" s="532"/>
      <c r="BE97" s="532"/>
      <c r="BF97" s="532"/>
      <c r="BG97" s="532"/>
      <c r="BH97" s="532"/>
      <c r="BI97" s="532">
        <f>SUM(BD97:BH97)</f>
        <v>0</v>
      </c>
      <c r="BJ97" s="532"/>
      <c r="BK97" s="532"/>
      <c r="BL97" s="532"/>
      <c r="BM97" s="532"/>
      <c r="BN97" s="532">
        <f>SUM(BJ97:BM97)</f>
        <v>0</v>
      </c>
      <c r="BO97" s="532"/>
      <c r="BP97" s="532"/>
      <c r="BQ97" s="532"/>
      <c r="BR97" s="532"/>
      <c r="BS97" s="532"/>
      <c r="BT97" s="532">
        <f>SUM(BO97:BS97)</f>
        <v>0</v>
      </c>
      <c r="BU97" s="532"/>
      <c r="BV97" s="532"/>
      <c r="BW97" s="532">
        <f>SUM(BU97:BV97)</f>
        <v>0</v>
      </c>
      <c r="BX97" s="532"/>
      <c r="BY97" s="532">
        <f>IF(ISERROR(SUM(AC97,AJ97,AO97,AU97,AX97,BC97,BI97,BN97,BT97,BW97,BX97)),0,SUM(AC97,AJ97,AO97,AU97,AX97,BC97,BI97,BN97,BT97,BW97,BX97))</f>
        <v>0</v>
      </c>
      <c r="BZ97" s="543">
        <f>SUM(AC97:BX97)+AC97+BX97</f>
        <v>0</v>
      </c>
      <c r="CA97" s="441">
        <f>IF(ISERROR($E$15*E97),0,$E$15*E97)+IF(ISERROR($F$15*F97),0,$F$15*F97)+IF(ISERROR($G$15*G97),0,$G$15*G97)+IF(ISERROR($H$15*H97),0,$H$15*H97)+IF(ISERROR($I$15*I97),0,$I$15*I97)+IF(ISERROR($J$15*J97),0,$J$15*J97)+IF(ISERROR($K$15*K97),0,$K$15*K97)+IF(ISERROR($L$15*L97),0,$L$15*L97)+IF(ISERROR($M$15*M97),0,$M$15*M97)+IF(ISERROR($N$15*N97),0,$N$15*N97)+IF(ISERROR($O$15*O97),0,$O$15*O97)+IF(ISERROR($P$15*P97),0,$P$15*P97)+IF(ISERROR($Q$15*Q97),0,$Q$15*Q97)+IF(ISERROR($R$15*R97),0,$R$15*R97)+IF(ISERROR($S$15*S97),0,$S$15*S97)+IF(ISERROR($T$15*T97),0,$T$15*T97)+IF(ISERROR($U$15*U97),0,$U$15*U97)+IF(ISERROR($V$15*V97),0,$V$15*V97)+IF(ISERROR($W$15*W97),0,$W$15*W97)+IF(ISERROR($X$15*X97),0,$X$15*X97)+IF(ISERROR($Y$15*Y97),0,$Y$15*Y97)</f>
        <v>0</v>
      </c>
      <c r="DW97" s="483"/>
      <c r="DX97" s="442">
        <f>'Table 2'!AS94</f>
      </c>
      <c r="DY97" s="442">
        <f>'Table 2'!AT94</f>
      </c>
      <c r="DZ97" s="442">
        <f>'Table 2'!AU94</f>
      </c>
      <c r="EA97" s="442">
        <f>'Table 2'!AV94</f>
      </c>
      <c r="EB97" s="546"/>
      <c r="EC97" s="442">
        <f>'Table 2'!AX94</f>
      </c>
      <c r="ED97" s="442">
        <f>'Table 2'!AY94</f>
      </c>
      <c r="EE97" s="442">
        <f>'Table 2'!AZ94</f>
      </c>
      <c r="EF97" s="442">
        <f>'Table 2'!BA94</f>
      </c>
      <c r="EG97" s="442">
        <f>'Table 2'!BB94</f>
      </c>
      <c r="EH97" s="442">
        <f>'Table 2'!BC94</f>
      </c>
      <c r="EI97" s="442">
        <f>'Table 2'!BD94</f>
      </c>
      <c r="EJ97" s="442">
        <f>'Table 2'!BE94</f>
      </c>
      <c r="EK97" s="442">
        <f>'Table 2'!BF94</f>
      </c>
      <c r="EL97" s="442">
        <f>'Table 2'!BG94</f>
      </c>
      <c r="EM97" s="442">
        <f>'Table 2'!BH94</f>
      </c>
      <c r="EN97" s="546"/>
      <c r="EO97" s="434">
        <f>IF(LEN(TRIM(DW97&amp;DX97&amp;DY97&amp;DZ97&amp;EA97&amp;EB97&amp;EC97&amp;ED97&amp;EE97&amp;EF97&amp;EG97&amp;EH97&amp;EI97&amp;EJ97&amp;EK97&amp;EL97&amp;EM97&amp;EN97))&gt;0,1,0)</f>
        <v>0</v>
      </c>
    </row>
    <row r="98" spans="39:141" ht="13.5" thickBot="1">
      <c r="AM98" s="575"/>
      <c r="AN98" s="575"/>
      <c r="AO98" s="575"/>
      <c r="BY98" s="576"/>
      <c r="DW98" s="432"/>
      <c r="EK98" s="432"/>
    </row>
    <row r="99" spans="3:145" ht="18" customHeight="1" thickBot="1" thickTop="1">
      <c r="C99" s="1166" t="s">
        <v>580</v>
      </c>
      <c r="D99" s="1166"/>
      <c r="E99" s="485">
        <f>SUM(E97:E98)</f>
        <v>0</v>
      </c>
      <c r="F99" s="485">
        <f aca="true" t="shared" si="37" ref="F99:P99">SUM(F97:F98)</f>
        <v>0</v>
      </c>
      <c r="G99" s="485">
        <f>SUM(G97:G98)</f>
        <v>0</v>
      </c>
      <c r="H99" s="485">
        <f>SUM(H97:H98)</f>
        <v>0</v>
      </c>
      <c r="I99" s="485">
        <f t="shared" si="37"/>
        <v>0</v>
      </c>
      <c r="J99" s="485">
        <f t="shared" si="37"/>
        <v>0</v>
      </c>
      <c r="K99" s="485">
        <f t="shared" si="37"/>
        <v>0</v>
      </c>
      <c r="L99" s="485">
        <f t="shared" si="37"/>
        <v>0</v>
      </c>
      <c r="M99" s="485">
        <f t="shared" si="37"/>
        <v>0</v>
      </c>
      <c r="N99" s="485">
        <f t="shared" si="37"/>
        <v>0</v>
      </c>
      <c r="O99" s="485">
        <f t="shared" si="37"/>
        <v>0</v>
      </c>
      <c r="P99" s="485">
        <f t="shared" si="37"/>
        <v>0</v>
      </c>
      <c r="Q99" s="485">
        <f aca="true" t="shared" si="38" ref="Q99:W99">SUM(Q97:Q98)</f>
        <v>0</v>
      </c>
      <c r="R99" s="485">
        <f t="shared" si="38"/>
        <v>0</v>
      </c>
      <c r="S99" s="485">
        <f t="shared" si="38"/>
        <v>0</v>
      </c>
      <c r="T99" s="485">
        <f t="shared" si="38"/>
        <v>0</v>
      </c>
      <c r="U99" s="485">
        <f t="shared" si="38"/>
        <v>0</v>
      </c>
      <c r="V99" s="485">
        <f t="shared" si="38"/>
        <v>0</v>
      </c>
      <c r="W99" s="485">
        <f t="shared" si="38"/>
        <v>0</v>
      </c>
      <c r="X99" s="485">
        <f>SUM(X97:X98)</f>
        <v>0</v>
      </c>
      <c r="Y99" s="485">
        <f>SUM(Y97:Y98)</f>
        <v>0</v>
      </c>
      <c r="Z99" s="504"/>
      <c r="AA99" s="504"/>
      <c r="AB99" s="485">
        <f>SUM(AB97:AB98)</f>
        <v>0</v>
      </c>
      <c r="AC99" s="485">
        <f aca="true" t="shared" si="39" ref="AC99:AJ99">SUM(AC97:AC98)</f>
        <v>0</v>
      </c>
      <c r="AD99" s="485">
        <f t="shared" si="39"/>
        <v>0</v>
      </c>
      <c r="AE99" s="485">
        <f t="shared" si="39"/>
        <v>0</v>
      </c>
      <c r="AF99" s="485">
        <f t="shared" si="39"/>
        <v>0</v>
      </c>
      <c r="AG99" s="485">
        <f t="shared" si="39"/>
        <v>0</v>
      </c>
      <c r="AH99" s="569"/>
      <c r="AI99" s="485">
        <f t="shared" si="39"/>
        <v>0</v>
      </c>
      <c r="AJ99" s="485">
        <f t="shared" si="39"/>
        <v>0</v>
      </c>
      <c r="AK99" s="554"/>
      <c r="AL99" s="555"/>
      <c r="AM99" s="556">
        <f aca="true" t="shared" si="40" ref="AM99:AX99">SUM(AM97:AM98)</f>
        <v>0</v>
      </c>
      <c r="AN99" s="556">
        <f t="shared" si="40"/>
        <v>0</v>
      </c>
      <c r="AO99" s="557">
        <f t="shared" si="40"/>
        <v>0</v>
      </c>
      <c r="AP99" s="549">
        <f t="shared" si="40"/>
        <v>0</v>
      </c>
      <c r="AQ99" s="549">
        <f t="shared" si="40"/>
        <v>0</v>
      </c>
      <c r="AR99" s="549">
        <f t="shared" si="40"/>
        <v>0</v>
      </c>
      <c r="AS99" s="549">
        <f t="shared" si="40"/>
        <v>0</v>
      </c>
      <c r="AT99" s="549">
        <f t="shared" si="40"/>
        <v>0</v>
      </c>
      <c r="AU99" s="549">
        <f t="shared" si="40"/>
        <v>0</v>
      </c>
      <c r="AV99" s="549">
        <f t="shared" si="40"/>
        <v>0</v>
      </c>
      <c r="AW99" s="549">
        <f t="shared" si="40"/>
        <v>0</v>
      </c>
      <c r="AX99" s="549">
        <f t="shared" si="40"/>
        <v>0</v>
      </c>
      <c r="AY99" s="485">
        <f aca="true" t="shared" si="41" ref="AY99:BI99">SUM(AY97:AY98)</f>
        <v>0</v>
      </c>
      <c r="AZ99" s="485">
        <f>SUM(AZ97:AZ98)</f>
        <v>0</v>
      </c>
      <c r="BA99" s="485">
        <f>SUM(BA97:BA98)</f>
        <v>0</v>
      </c>
      <c r="BB99" s="485">
        <f t="shared" si="41"/>
        <v>0</v>
      </c>
      <c r="BC99" s="485">
        <f t="shared" si="41"/>
        <v>0</v>
      </c>
      <c r="BD99" s="485">
        <f t="shared" si="41"/>
        <v>0</v>
      </c>
      <c r="BE99" s="485">
        <f>SUM(BE97:BE98)</f>
        <v>0</v>
      </c>
      <c r="BF99" s="485">
        <f>SUM(BF97:BF98)</f>
        <v>0</v>
      </c>
      <c r="BG99" s="485">
        <f>SUM(BG97:BG98)</f>
        <v>0</v>
      </c>
      <c r="BH99" s="485">
        <f>SUM(BH97:BH98)</f>
        <v>0</v>
      </c>
      <c r="BI99" s="485">
        <f t="shared" si="41"/>
        <v>0</v>
      </c>
      <c r="BJ99" s="485">
        <f aca="true" t="shared" si="42" ref="BJ99:BY99">SUM(BJ97:BJ98)</f>
        <v>0</v>
      </c>
      <c r="BK99" s="485">
        <f>SUM(BK97:BK98)</f>
        <v>0</v>
      </c>
      <c r="BL99" s="485">
        <f>SUM(BL97:BL98)</f>
        <v>0</v>
      </c>
      <c r="BM99" s="485">
        <f>SUM(BM97:BM98)</f>
        <v>0</v>
      </c>
      <c r="BN99" s="485">
        <f t="shared" si="42"/>
        <v>0</v>
      </c>
      <c r="BO99" s="549">
        <f t="shared" si="42"/>
        <v>0</v>
      </c>
      <c r="BP99" s="549">
        <f>SUM(BP97:BP98)</f>
        <v>0</v>
      </c>
      <c r="BQ99" s="549">
        <f>SUM(BQ97:BQ98)</f>
        <v>0</v>
      </c>
      <c r="BR99" s="549">
        <f>SUM(BR97:BR98)</f>
        <v>0</v>
      </c>
      <c r="BS99" s="549">
        <f>SUM(BS97:BS98)</f>
        <v>0</v>
      </c>
      <c r="BT99" s="549">
        <f t="shared" si="42"/>
        <v>0</v>
      </c>
      <c r="BU99" s="549">
        <f t="shared" si="42"/>
        <v>0</v>
      </c>
      <c r="BV99" s="549">
        <f t="shared" si="42"/>
        <v>0</v>
      </c>
      <c r="BW99" s="549">
        <f t="shared" si="42"/>
        <v>0</v>
      </c>
      <c r="BX99" s="549">
        <f t="shared" si="42"/>
        <v>0</v>
      </c>
      <c r="BY99" s="549">
        <f t="shared" si="42"/>
        <v>0</v>
      </c>
      <c r="BZ99" s="67"/>
      <c r="CA99" s="441"/>
      <c r="DW99" s="432" t="str">
        <f>C99</f>
        <v>Middle Deemed Primary Total</v>
      </c>
      <c r="DY99" s="432"/>
      <c r="DZ99" s="570"/>
      <c r="EA99" s="570" t="s">
        <v>581</v>
      </c>
      <c r="EB99" s="570"/>
      <c r="EC99" s="570"/>
      <c r="ED99" s="570"/>
      <c r="EE99" s="570"/>
      <c r="EF99" s="570"/>
      <c r="EG99" s="570"/>
      <c r="EH99" s="570"/>
      <c r="EI99" s="570"/>
      <c r="EJ99" s="570"/>
      <c r="EK99" s="570"/>
      <c r="EL99" s="570"/>
      <c r="EM99" s="570"/>
      <c r="EN99" s="570"/>
      <c r="EO99" s="432"/>
    </row>
    <row r="100" spans="3:145" ht="14.25" thickBot="1" thickTop="1">
      <c r="C100" s="548"/>
      <c r="D100" s="548"/>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5"/>
      <c r="AA100" s="565"/>
      <c r="AB100" s="564"/>
      <c r="AC100" s="564"/>
      <c r="AD100" s="564"/>
      <c r="AE100" s="564"/>
      <c r="AF100" s="564"/>
      <c r="AG100" s="564"/>
      <c r="AH100" s="564"/>
      <c r="AI100" s="564"/>
      <c r="AJ100" s="564"/>
      <c r="AK100" s="566"/>
      <c r="AL100" s="566"/>
      <c r="AM100" s="567"/>
      <c r="AN100" s="567"/>
      <c r="AO100" s="567"/>
      <c r="AP100" s="564"/>
      <c r="AQ100" s="564"/>
      <c r="AR100" s="564"/>
      <c r="AS100" s="564"/>
      <c r="AT100" s="564"/>
      <c r="AU100" s="564"/>
      <c r="AV100" s="564"/>
      <c r="AW100" s="564"/>
      <c r="AX100" s="564"/>
      <c r="AY100" s="564"/>
      <c r="AZ100" s="564"/>
      <c r="BA100" s="564"/>
      <c r="BB100" s="564"/>
      <c r="BC100" s="564"/>
      <c r="BD100" s="564"/>
      <c r="BE100" s="564"/>
      <c r="BF100" s="564"/>
      <c r="BG100" s="564"/>
      <c r="BH100" s="564"/>
      <c r="BI100" s="564"/>
      <c r="BJ100" s="564"/>
      <c r="BK100" s="564"/>
      <c r="BL100" s="564"/>
      <c r="BM100" s="564"/>
      <c r="BN100" s="564"/>
      <c r="BO100" s="564"/>
      <c r="BP100" s="564"/>
      <c r="BQ100" s="564"/>
      <c r="BR100" s="564"/>
      <c r="BS100" s="564"/>
      <c r="BT100" s="564"/>
      <c r="BU100" s="564"/>
      <c r="BV100" s="564"/>
      <c r="BW100" s="564"/>
      <c r="BX100" s="564"/>
      <c r="BY100" s="564"/>
      <c r="DW100" s="432"/>
      <c r="DY100" s="432"/>
      <c r="DZ100" s="570"/>
      <c r="EA100" s="570"/>
      <c r="EB100" s="570"/>
      <c r="EC100" s="570"/>
      <c r="ED100" s="570"/>
      <c r="EE100" s="570"/>
      <c r="EF100" s="570"/>
      <c r="EG100" s="570"/>
      <c r="EH100" s="570"/>
      <c r="EI100" s="570"/>
      <c r="EJ100" s="570"/>
      <c r="EK100" s="570"/>
      <c r="EL100" s="570"/>
      <c r="EM100" s="570"/>
      <c r="EN100" s="570"/>
      <c r="EO100" s="432"/>
    </row>
    <row r="101" spans="3:145" ht="17.25" customHeight="1" thickBot="1" thickTop="1">
      <c r="C101" s="1166" t="s">
        <v>582</v>
      </c>
      <c r="D101" s="1166"/>
      <c r="E101" s="485">
        <f aca="true" t="shared" si="43" ref="E101:Y101">SUM(E94,E99)</f>
        <v>0</v>
      </c>
      <c r="F101" s="485">
        <f t="shared" si="43"/>
        <v>1058.5</v>
      </c>
      <c r="G101" s="485">
        <f t="shared" si="43"/>
        <v>0</v>
      </c>
      <c r="H101" s="485">
        <f t="shared" si="43"/>
        <v>0</v>
      </c>
      <c r="I101" s="485">
        <f t="shared" si="43"/>
        <v>2519.0000000000005</v>
      </c>
      <c r="J101" s="485">
        <f t="shared" si="43"/>
        <v>0</v>
      </c>
      <c r="K101" s="485">
        <f t="shared" si="43"/>
        <v>2482.0000000000005</v>
      </c>
      <c r="L101" s="485">
        <f t="shared" si="43"/>
        <v>2421</v>
      </c>
      <c r="M101" s="485">
        <f t="shared" si="43"/>
        <v>0</v>
      </c>
      <c r="N101" s="485">
        <f t="shared" si="43"/>
        <v>2300</v>
      </c>
      <c r="O101" s="485">
        <f t="shared" si="43"/>
        <v>2373</v>
      </c>
      <c r="P101" s="485">
        <f t="shared" si="43"/>
        <v>2417</v>
      </c>
      <c r="Q101" s="485">
        <f t="shared" si="43"/>
        <v>2539.9999999999995</v>
      </c>
      <c r="R101" s="485">
        <f t="shared" si="43"/>
        <v>0</v>
      </c>
      <c r="S101" s="485">
        <f t="shared" si="43"/>
        <v>0</v>
      </c>
      <c r="T101" s="485">
        <f t="shared" si="43"/>
        <v>0</v>
      </c>
      <c r="U101" s="485">
        <f t="shared" si="43"/>
        <v>0</v>
      </c>
      <c r="V101" s="485">
        <f t="shared" si="43"/>
        <v>0</v>
      </c>
      <c r="W101" s="485">
        <f t="shared" si="43"/>
        <v>0</v>
      </c>
      <c r="X101" s="485">
        <f t="shared" si="43"/>
        <v>0</v>
      </c>
      <c r="Y101" s="485">
        <f t="shared" si="43"/>
        <v>0</v>
      </c>
      <c r="Z101" s="504"/>
      <c r="AA101" s="504"/>
      <c r="AB101" s="577">
        <f aca="true" t="shared" si="44" ref="AB101:AG101">SUM(AB94,AB99)</f>
        <v>18110.5</v>
      </c>
      <c r="AC101" s="485">
        <f t="shared" si="44"/>
        <v>38845846.96</v>
      </c>
      <c r="AD101" s="485">
        <f t="shared" si="44"/>
        <v>2817553.9000000004</v>
      </c>
      <c r="AE101" s="485">
        <f t="shared" si="44"/>
        <v>0</v>
      </c>
      <c r="AF101" s="485">
        <f t="shared" si="44"/>
        <v>550175</v>
      </c>
      <c r="AG101" s="485">
        <f t="shared" si="44"/>
        <v>0</v>
      </c>
      <c r="AH101" s="569"/>
      <c r="AI101" s="485">
        <f>SUM(AI94,AI99)</f>
        <v>0</v>
      </c>
      <c r="AJ101" s="549">
        <f>SUM(AJ94,AJ99)</f>
        <v>3367728.9000000004</v>
      </c>
      <c r="AK101" s="554"/>
      <c r="AL101" s="555"/>
      <c r="AM101" s="556">
        <f aca="true" t="shared" si="45" ref="AM101:AW101">SUM(AM94,AM99)</f>
        <v>0</v>
      </c>
      <c r="AN101" s="556">
        <f t="shared" si="45"/>
        <v>0</v>
      </c>
      <c r="AO101" s="557">
        <f>SUM(AO94,AO99)</f>
        <v>0</v>
      </c>
      <c r="AP101" s="549">
        <f t="shared" si="45"/>
        <v>943991</v>
      </c>
      <c r="AQ101" s="549">
        <f>SUM(AQ94,AQ99)</f>
        <v>799732</v>
      </c>
      <c r="AR101" s="549">
        <f t="shared" si="45"/>
        <v>768835</v>
      </c>
      <c r="AS101" s="549">
        <f t="shared" si="45"/>
        <v>0</v>
      </c>
      <c r="AT101" s="549">
        <f t="shared" si="45"/>
        <v>315641</v>
      </c>
      <c r="AU101" s="549">
        <f>SUM(AU94,AU99)</f>
        <v>2828199</v>
      </c>
      <c r="AV101" s="549">
        <f t="shared" si="45"/>
        <v>270661</v>
      </c>
      <c r="AW101" s="549">
        <f t="shared" si="45"/>
        <v>205150.83333333334</v>
      </c>
      <c r="AX101" s="549">
        <f>SUM(AX94,AX99)</f>
        <v>475811.8333333333</v>
      </c>
      <c r="AY101" s="549">
        <f aca="true" t="shared" si="46" ref="AY101:BI101">SUM(AY94,AY99)</f>
        <v>552121</v>
      </c>
      <c r="AZ101" s="549">
        <f>SUM(AZ94,AZ99)</f>
        <v>290992</v>
      </c>
      <c r="BA101" s="549">
        <f>SUM(BA94,BA99)</f>
        <v>281941</v>
      </c>
      <c r="BB101" s="549">
        <f t="shared" si="46"/>
        <v>0</v>
      </c>
      <c r="BC101" s="549">
        <f t="shared" si="46"/>
        <v>1125054</v>
      </c>
      <c r="BD101" s="549">
        <f t="shared" si="46"/>
        <v>39270</v>
      </c>
      <c r="BE101" s="549">
        <f>SUM(BE94,BE99)</f>
        <v>35296</v>
      </c>
      <c r="BF101" s="549">
        <f>SUM(BF94,BF99)</f>
        <v>60358</v>
      </c>
      <c r="BG101" s="549">
        <f>SUM(BG94,BG99)</f>
        <v>432849</v>
      </c>
      <c r="BH101" s="549">
        <f>SUM(BH94,BH99)</f>
        <v>432717.00000000006</v>
      </c>
      <c r="BI101" s="549">
        <f t="shared" si="46"/>
        <v>1000489.9999999999</v>
      </c>
      <c r="BJ101" s="549">
        <f aca="true" t="shared" si="47" ref="BJ101:BY101">SUM(BJ94,BJ99)</f>
        <v>787696</v>
      </c>
      <c r="BK101" s="549">
        <f>SUM(BK94,BK99)</f>
        <v>101502</v>
      </c>
      <c r="BL101" s="549">
        <f>SUM(BL94,BL99)</f>
        <v>2472671</v>
      </c>
      <c r="BM101" s="549">
        <f>SUM(BM94,BM99)</f>
        <v>265308</v>
      </c>
      <c r="BN101" s="549">
        <f t="shared" si="47"/>
        <v>3627177</v>
      </c>
      <c r="BO101" s="549">
        <f t="shared" si="47"/>
        <v>5092459.166666667</v>
      </c>
      <c r="BP101" s="549">
        <f>SUM(BP94,BP99)</f>
        <v>577659</v>
      </c>
      <c r="BQ101" s="549">
        <f>SUM(BQ94,BQ99)</f>
        <v>0</v>
      </c>
      <c r="BR101" s="549">
        <f>SUM(BR94,BR99)</f>
        <v>325895</v>
      </c>
      <c r="BS101" s="549">
        <f>SUM(BS94,BS99)</f>
        <v>70942</v>
      </c>
      <c r="BT101" s="549">
        <f t="shared" si="47"/>
        <v>6066955.166666667</v>
      </c>
      <c r="BU101" s="549">
        <f t="shared" si="47"/>
        <v>0</v>
      </c>
      <c r="BV101" s="549">
        <f t="shared" si="47"/>
        <v>0</v>
      </c>
      <c r="BW101" s="549">
        <f t="shared" si="47"/>
        <v>0</v>
      </c>
      <c r="BX101" s="549">
        <f t="shared" si="47"/>
        <v>59824</v>
      </c>
      <c r="BY101" s="549">
        <f t="shared" si="47"/>
        <v>57397086.85999998</v>
      </c>
      <c r="BZ101" s="67"/>
      <c r="CA101" s="441"/>
      <c r="DW101" s="432" t="str">
        <f>C101</f>
        <v> Primary Total</v>
      </c>
      <c r="DY101" s="432"/>
      <c r="DZ101" s="488">
        <f>'Table 2'!AU96</f>
        <v>38845846.96</v>
      </c>
      <c r="EA101" s="488">
        <f>'Table 2'!AV96</f>
        <v>3367728.9000000004</v>
      </c>
      <c r="EB101" s="558"/>
      <c r="EC101" s="488">
        <f>'Table 2'!AX96</f>
        <v>0</v>
      </c>
      <c r="ED101" s="488">
        <f>'Table 2'!AY96</f>
        <v>2828199</v>
      </c>
      <c r="EE101" s="488">
        <f>'Table 2'!AZ96</f>
        <v>475811.8333333333</v>
      </c>
      <c r="EF101" s="488">
        <f>'Table 2'!BA96</f>
        <v>1125054</v>
      </c>
      <c r="EG101" s="488">
        <f>'Table 2'!BB96</f>
        <v>1000489.9999999999</v>
      </c>
      <c r="EH101" s="488">
        <f>'Table 2'!BC96</f>
        <v>3627177</v>
      </c>
      <c r="EI101" s="488">
        <f>'Table 2'!BD96</f>
        <v>6066955.166666667</v>
      </c>
      <c r="EJ101" s="488">
        <f>'Table 2'!BE96</f>
        <v>0</v>
      </c>
      <c r="EK101" s="488">
        <f>'Table 2'!BF96</f>
        <v>59824</v>
      </c>
      <c r="EL101" s="488">
        <f>'Table 2'!BG96</f>
        <v>57397086.85999998</v>
      </c>
      <c r="EM101" s="488">
        <f>'Table 2'!BH96</f>
        <v>18110.5</v>
      </c>
      <c r="EN101" s="546"/>
      <c r="EO101" s="434">
        <f>IF(OR(LEFT(DZ101,1)="E",LEFT(EA101,1)="E",LEFT(EB101,1)="E",LEFT(EC101,1)="E",LEFT(ED101,1)="E",LEFT(EE101,1)="E",LEFT(EF101,1)="E",LEFT(EG101,1)="E",LEFT(EH101,1)="E",LEFT(EI101,1)="E",LEFT(EJ101,1)="E",LEFT(EK101,1)="E",LEFT(EL101,1)="E",LEFT(EM101,1)="E",LEFT(EN101,1)="E"),1,0)</f>
        <v>0</v>
      </c>
    </row>
    <row r="102" spans="3:127" ht="19.5" customHeight="1" thickTop="1">
      <c r="C102" s="548"/>
      <c r="D102" s="548"/>
      <c r="E102" s="568"/>
      <c r="F102" s="568"/>
      <c r="G102" s="568"/>
      <c r="H102" s="568"/>
      <c r="I102" s="568"/>
      <c r="J102" s="568"/>
      <c r="K102" s="568"/>
      <c r="L102" s="568"/>
      <c r="M102" s="568"/>
      <c r="N102" s="568"/>
      <c r="O102" s="568"/>
      <c r="P102" s="568"/>
      <c r="Q102" s="568"/>
      <c r="R102" s="568"/>
      <c r="S102" s="568"/>
      <c r="T102" s="568"/>
      <c r="U102" s="568"/>
      <c r="V102" s="568"/>
      <c r="W102" s="568"/>
      <c r="X102" s="568"/>
      <c r="Y102" s="568"/>
      <c r="Z102" s="568"/>
      <c r="AA102" s="432"/>
      <c r="AB102" s="568"/>
      <c r="AC102" s="578">
        <v>-2.040000006556511</v>
      </c>
      <c r="AD102" s="568"/>
      <c r="AE102" s="568"/>
      <c r="AF102" s="568"/>
      <c r="AG102" s="568"/>
      <c r="AH102" s="568"/>
      <c r="AI102" s="568"/>
      <c r="AJ102" s="568"/>
      <c r="AK102" s="568"/>
      <c r="AL102" s="568"/>
      <c r="AM102" s="568"/>
      <c r="AN102" s="568"/>
      <c r="AO102" s="568"/>
      <c r="AP102" s="568"/>
      <c r="AQ102" s="568"/>
      <c r="AR102" s="568"/>
      <c r="AS102" s="568"/>
      <c r="AT102" s="568"/>
      <c r="AU102" s="568"/>
      <c r="AV102" s="568"/>
      <c r="AW102" s="568"/>
      <c r="AX102" s="568"/>
      <c r="AY102" s="568"/>
      <c r="AZ102" s="568"/>
      <c r="BA102" s="568"/>
      <c r="BB102" s="568"/>
      <c r="BC102" s="568"/>
      <c r="BD102" s="568"/>
      <c r="BE102" s="568"/>
      <c r="BF102" s="568"/>
      <c r="BG102" s="568"/>
      <c r="BH102" s="568"/>
      <c r="BI102" s="568"/>
      <c r="BJ102" s="568"/>
      <c r="BK102" s="568"/>
      <c r="BL102" s="568"/>
      <c r="BM102" s="568"/>
      <c r="BN102" s="568"/>
      <c r="BO102" s="568"/>
      <c r="BP102" s="568"/>
      <c r="BQ102" s="568"/>
      <c r="BR102" s="568"/>
      <c r="BS102" s="568"/>
      <c r="BT102" s="568"/>
      <c r="BU102" s="568"/>
      <c r="BV102" s="568"/>
      <c r="BW102" s="568"/>
      <c r="BX102" s="568"/>
      <c r="BY102" s="574"/>
      <c r="DW102" s="432"/>
    </row>
    <row r="103" spans="3:133" ht="12.75">
      <c r="C103" s="1131" t="s">
        <v>583</v>
      </c>
      <c r="D103" s="1132"/>
      <c r="E103" s="534"/>
      <c r="F103" s="5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535"/>
      <c r="AD103" s="535"/>
      <c r="AE103" s="535"/>
      <c r="AF103" s="535"/>
      <c r="AG103" s="535"/>
      <c r="AH103" s="535"/>
      <c r="AI103" s="535"/>
      <c r="AJ103" s="535"/>
      <c r="AK103" s="535"/>
      <c r="AL103" s="535"/>
      <c r="AM103" s="535"/>
      <c r="AN103" s="535"/>
      <c r="AO103" s="535"/>
      <c r="AP103" s="579"/>
      <c r="AQ103" s="580"/>
      <c r="AR103" s="535"/>
      <c r="AS103" s="579"/>
      <c r="AT103" s="535"/>
      <c r="AU103" s="579">
        <f>SUM(AP103,AS103)</f>
        <v>0</v>
      </c>
      <c r="AV103" s="581"/>
      <c r="AW103" s="582"/>
      <c r="AX103" s="582"/>
      <c r="AY103" s="583"/>
      <c r="AZ103" s="583"/>
      <c r="BA103" s="583"/>
      <c r="BB103" s="535"/>
      <c r="BC103" s="535"/>
      <c r="BD103" s="535"/>
      <c r="BE103" s="535"/>
      <c r="BF103" s="535"/>
      <c r="BG103" s="535"/>
      <c r="BH103" s="535"/>
      <c r="BI103" s="535"/>
      <c r="BJ103" s="535"/>
      <c r="BK103" s="535"/>
      <c r="BL103" s="535"/>
      <c r="BM103" s="535"/>
      <c r="BN103" s="535"/>
      <c r="BO103" s="535"/>
      <c r="BP103" s="535"/>
      <c r="BQ103" s="535"/>
      <c r="BR103" s="535"/>
      <c r="BS103" s="535"/>
      <c r="BT103" s="535"/>
      <c r="BU103" s="535"/>
      <c r="BV103" s="535"/>
      <c r="BW103" s="535"/>
      <c r="BX103" s="535"/>
      <c r="BY103" s="584"/>
      <c r="DW103" s="432"/>
      <c r="EC103" s="568"/>
    </row>
    <row r="104" spans="3:127" ht="12.75">
      <c r="C104" s="1133"/>
      <c r="D104" s="1133"/>
      <c r="E104" s="484"/>
      <c r="F104" s="484"/>
      <c r="G104" s="484"/>
      <c r="H104" s="484"/>
      <c r="I104" s="484"/>
      <c r="J104" s="484"/>
      <c r="K104" s="484"/>
      <c r="L104" s="484"/>
      <c r="M104" s="484"/>
      <c r="N104" s="484"/>
      <c r="O104" s="484"/>
      <c r="P104" s="484"/>
      <c r="Q104" s="484"/>
      <c r="R104" s="484"/>
      <c r="S104" s="484"/>
      <c r="T104" s="484"/>
      <c r="U104" s="484"/>
      <c r="V104" s="484"/>
      <c r="W104" s="484"/>
      <c r="X104" s="484"/>
      <c r="Y104" s="484"/>
      <c r="Z104" s="484"/>
      <c r="AA104" s="484"/>
      <c r="AB104" s="484"/>
      <c r="AC104" s="484"/>
      <c r="AD104" s="484"/>
      <c r="AE104" s="484"/>
      <c r="AF104" s="484"/>
      <c r="AG104" s="484"/>
      <c r="AH104" s="484"/>
      <c r="AI104" s="585"/>
      <c r="AJ104" s="585"/>
      <c r="AK104" s="585"/>
      <c r="AL104" s="484"/>
      <c r="AM104" s="484"/>
      <c r="AN104" s="484"/>
      <c r="AO104" s="484"/>
      <c r="AP104" s="484"/>
      <c r="AQ104" s="484"/>
      <c r="AR104" s="484"/>
      <c r="AS104" s="484"/>
      <c r="AT104" s="484"/>
      <c r="AU104" s="484"/>
      <c r="AV104" s="484"/>
      <c r="AW104" s="484"/>
      <c r="AX104" s="484"/>
      <c r="AY104" s="484"/>
      <c r="AZ104" s="484"/>
      <c r="BA104" s="484"/>
      <c r="BB104" s="484"/>
      <c r="BC104" s="484"/>
      <c r="BD104" s="484"/>
      <c r="BE104" s="484"/>
      <c r="BF104" s="484"/>
      <c r="BG104" s="484"/>
      <c r="BH104" s="484"/>
      <c r="BI104" s="484"/>
      <c r="BJ104" s="484"/>
      <c r="BK104" s="484"/>
      <c r="BL104" s="484"/>
      <c r="BM104" s="484"/>
      <c r="BN104" s="484"/>
      <c r="BO104" s="484"/>
      <c r="BP104" s="484"/>
      <c r="BQ104" s="484"/>
      <c r="BR104" s="484"/>
      <c r="BS104" s="484"/>
      <c r="BT104" s="484"/>
      <c r="BU104" s="484"/>
      <c r="BV104" s="484"/>
      <c r="BW104" s="484"/>
      <c r="BX104" s="432"/>
      <c r="BY104" s="576"/>
      <c r="BZ104" s="568"/>
      <c r="DW104" s="432"/>
    </row>
    <row r="105" spans="3:127" ht="12.75">
      <c r="C105" s="1174" t="s">
        <v>109</v>
      </c>
      <c r="D105" s="1174"/>
      <c r="AI105" s="428"/>
      <c r="AJ105" s="428"/>
      <c r="AK105" s="428"/>
      <c r="AL105" s="428"/>
      <c r="BX105" s="568"/>
      <c r="BY105" s="574"/>
      <c r="BZ105" s="568"/>
      <c r="DW105" s="432" t="str">
        <f>C105</f>
        <v>Secondary</v>
      </c>
    </row>
    <row r="106" spans="2:145" ht="12.75">
      <c r="B106" s="480">
        <v>5</v>
      </c>
      <c r="C106" s="531" t="s">
        <v>584</v>
      </c>
      <c r="D106" s="531">
        <v>4012</v>
      </c>
      <c r="E106" s="522"/>
      <c r="F106" s="522"/>
      <c r="G106" s="522"/>
      <c r="H106" s="522"/>
      <c r="I106" s="522"/>
      <c r="J106" s="522"/>
      <c r="K106" s="522"/>
      <c r="L106" s="522"/>
      <c r="M106" s="586"/>
      <c r="N106" s="481"/>
      <c r="O106" s="481"/>
      <c r="P106" s="481"/>
      <c r="Q106" s="481"/>
      <c r="R106" s="481"/>
      <c r="S106" s="481">
        <v>190</v>
      </c>
      <c r="T106" s="481">
        <v>190</v>
      </c>
      <c r="U106" s="481">
        <v>189</v>
      </c>
      <c r="V106" s="481"/>
      <c r="W106" s="481">
        <v>186</v>
      </c>
      <c r="X106" s="587">
        <v>186</v>
      </c>
      <c r="Y106" s="587"/>
      <c r="Z106" s="522"/>
      <c r="AA106" s="588">
        <v>0</v>
      </c>
      <c r="AB106" s="481">
        <f aca="true" t="shared" si="48" ref="AB106:AB117">SUM(E106:AA106)</f>
        <v>941</v>
      </c>
      <c r="AC106" s="481">
        <f aca="true" t="shared" si="49" ref="AC106:AC117">IF(ISERROR($E$16*E106),0,$E$16*E106)+IF(ISERROR($F$16*F106),0,$F$16*F106)+IF(ISERROR($G$16*G106),0,$G$16*G106)+IF(ISERROR($H$16*H106),0,$H$16*H106)+IF(ISERROR($I$16*I106),0,$I$16*I106)+IF(ISERROR($J$16*J106),0,$J$16*J106)+IF(ISERROR($K$16*K106),0,$K$16*K106)+IF(ISERROR($L$16*L106),0,$L$16*L106)+IF(ISERROR($M$16*M106),0,$M$16*M106)+IF(ISERROR($N$16*N106),0,$N$16*N106)+IF(ISERROR($O$16*O106),0,$O$16*O106)+IF(ISERROR($P$16*P106),0,$P$16*P106)+IF(ISERROR($Q$16*Q106),0,$Q$16*Q106)+IF(ISERROR($R$16*R106),0,$R$16*R106)+IF(ISERROR($S$16*S106),0,$S$16*S106)+IF(ISERROR($T$16*T106),0,$T$16*T106)+IF(ISERROR($U$16*U106),0,$U$16*U106)+IF(ISERROR($V$16*V106),0,$V$16*V106)+IF(ISERROR($W$16*W106),0,$W$16*W106)+IF(ISERROR($X$16*X106),0,$X$16*X106)+IF(ISERROR($Y$16*Y106),0,$Y$16*Y106)+IF(ISERROR($Z$16*Z106),0,$Z$16*Z106)</f>
        <v>2846556.71</v>
      </c>
      <c r="AD106" s="481"/>
      <c r="AE106" s="481"/>
      <c r="AF106" s="481"/>
      <c r="AG106" s="481"/>
      <c r="AH106" s="481"/>
      <c r="AI106" s="532"/>
      <c r="AJ106" s="532">
        <f aca="true" t="shared" si="50" ref="AJ106:AJ117">SUM(AD106:AI106)</f>
        <v>0</v>
      </c>
      <c r="AK106" s="532">
        <v>0</v>
      </c>
      <c r="AL106" s="532">
        <f aca="true" t="shared" si="51" ref="AL106:AL117">SUM(AK106)</f>
        <v>0</v>
      </c>
      <c r="AM106" s="481"/>
      <c r="AN106" s="481"/>
      <c r="AO106" s="542">
        <f aca="true" t="shared" si="52" ref="AO106:AO117">SUM(AM106:AN106)</f>
        <v>0</v>
      </c>
      <c r="AP106" s="481">
        <v>96931</v>
      </c>
      <c r="AQ106" s="481">
        <v>52990</v>
      </c>
      <c r="AR106" s="481">
        <v>44711</v>
      </c>
      <c r="AS106" s="481"/>
      <c r="AT106" s="481">
        <v>572545</v>
      </c>
      <c r="AU106" s="532">
        <f aca="true" t="shared" si="53" ref="AU106:AU117">SUM(AP106:AT106)</f>
        <v>767177</v>
      </c>
      <c r="AV106" s="481">
        <v>34829</v>
      </c>
      <c r="AW106" s="481">
        <f aca="true" t="shared" si="54" ref="AW106:AW117">$AW$16</f>
        <v>9112</v>
      </c>
      <c r="AX106" s="532">
        <f aca="true" t="shared" si="55" ref="AX106:AX117">SUM(AV106:AW106)</f>
        <v>43941</v>
      </c>
      <c r="AY106" s="481">
        <v>38171</v>
      </c>
      <c r="AZ106" s="481">
        <v>22949</v>
      </c>
      <c r="BA106" s="481">
        <v>24953</v>
      </c>
      <c r="BB106" s="481">
        <f aca="true" t="shared" si="56" ref="BB106:BB117">$BB$16</f>
        <v>17803</v>
      </c>
      <c r="BC106" s="532">
        <f aca="true" t="shared" si="57" ref="BC106:BC117">SUM(AY106:BB106)</f>
        <v>103876</v>
      </c>
      <c r="BD106" s="481"/>
      <c r="BE106" s="481">
        <v>24643</v>
      </c>
      <c r="BF106" s="481">
        <v>0</v>
      </c>
      <c r="BG106" s="481">
        <v>16724</v>
      </c>
      <c r="BH106" s="481">
        <v>19189</v>
      </c>
      <c r="BI106" s="532">
        <f aca="true" t="shared" si="58" ref="BI106:BI117">SUM(BD106:BH106)</f>
        <v>60556</v>
      </c>
      <c r="BJ106" s="481">
        <v>95377</v>
      </c>
      <c r="BK106" s="481">
        <v>7746</v>
      </c>
      <c r="BL106" s="481">
        <v>171703</v>
      </c>
      <c r="BM106" s="481">
        <v>16277</v>
      </c>
      <c r="BN106" s="532">
        <f aca="true" t="shared" si="59" ref="BN106:BN117">SUM(BJ106:BM106)</f>
        <v>291103</v>
      </c>
      <c r="BO106" s="481">
        <f aca="true" t="shared" si="60" ref="BO106:BO117">$BO$16</f>
        <v>223235</v>
      </c>
      <c r="BP106" s="481"/>
      <c r="BQ106" s="481">
        <v>0</v>
      </c>
      <c r="BR106" s="481">
        <v>32117</v>
      </c>
      <c r="BS106" s="481">
        <v>0</v>
      </c>
      <c r="BT106" s="532">
        <f aca="true" t="shared" si="61" ref="BT106:BT117">SUM(BO106:BS106)</f>
        <v>255352</v>
      </c>
      <c r="BU106" s="481"/>
      <c r="BV106" s="481">
        <v>0</v>
      </c>
      <c r="BW106" s="532">
        <f aca="true" t="shared" si="62" ref="BW106:BW117">SUM(BU106:BV106)</f>
        <v>0</v>
      </c>
      <c r="BX106" s="532">
        <v>0</v>
      </c>
      <c r="BY106" s="532">
        <f aca="true" t="shared" si="63" ref="BY106:BY117">IF(ISERROR(SUM(AC106,AJ106,AL106,AO106,AU106,AX106,BC106,BI106,BN106,BT106,BW106,BX106)),0,SUM(AC106,AJ106,AL106,AO106,AU106,AX106,BC106,BI106,BN106,BT106,BW106,BX106))</f>
        <v>4368561.71</v>
      </c>
      <c r="BZ106" s="543">
        <f aca="true" t="shared" si="64" ref="BZ106:BZ117">SUM(AC106:BX106)+AC106+BX106</f>
        <v>8737123.42</v>
      </c>
      <c r="CA106" s="441">
        <f aca="true" t="shared" si="65" ref="CA106:CA117">IF(ISERROR($E$16*E106),0,$E$16*E106)+IF(ISERROR($F$16*F106),0,$F$16*F106)+IF(ISERROR($G$16*G106),0,$G$16*G106)+IF(ISERROR($H$16*H106),0,$H$16*H106)+IF(ISERROR($I$16*I106),0,$I$16*I106)+IF(ISERROR($J$16*J106),0,$J$16*J106)+IF(ISERROR($K$16*K106),0,$K$16*K106)+IF(ISERROR($L$16*L106),0,$L$16*L106)+IF(ISERROR($M$16*M106),0,$M$16*M106)+IF(ISERROR($N$16*N106),0,$N$16*N106)+IF(ISERROR($O$16*O106),0,$O$16*O106)+IF(ISERROR($P$16*P106),0,$P$16*P106)+IF(ISERROR($Q$16*Q106),0,$Q$16*Q106)+IF(ISERROR($R$16*R106),0,$R$16*R106)+IF(ISERROR($S$16*S106),0,$S$16*S106)+IF(ISERROR($T$16*T106),0,$T$16*T106)+IF(ISERROR($U$16*U106),0,$U$16*U106)+IF(ISERROR($V$16*V106),0,$V$16*V106)+IF(ISERROR($W$16*W106),0,$W$16*W106)+IF(ISERROR($X$16*X106),0,$X$16*X106)+IF(ISERROR($Y$16*Y106),0,$Y$16*Y106)+IF(ISERROR($Z$16*Z106),0,$Z$16*Z106)</f>
        <v>2846556.71</v>
      </c>
      <c r="CC106" s="316">
        <v>-0.4500000001862645</v>
      </c>
      <c r="DW106" s="483"/>
      <c r="DX106" s="442">
        <f>'Table 2'!AS99</f>
      </c>
      <c r="DY106" s="442">
        <f>'Table 2'!AT99</f>
      </c>
      <c r="DZ106" s="442">
        <f>'Table 2'!AU99</f>
      </c>
      <c r="EA106" s="442">
        <f>'Table 2'!AV99</f>
      </c>
      <c r="EB106" s="442">
        <f>'Table 2'!AW99</f>
      </c>
      <c r="EC106" s="442">
        <f>'Table 2'!AX99</f>
      </c>
      <c r="ED106" s="442">
        <f>'Table 2'!AY99</f>
      </c>
      <c r="EE106" s="442">
        <f>'Table 2'!AZ99</f>
      </c>
      <c r="EF106" s="442">
        <f>'Table 2'!BA99</f>
      </c>
      <c r="EG106" s="442">
        <f>'Table 2'!BB99</f>
      </c>
      <c r="EH106" s="442">
        <f>'Table 2'!BC99</f>
      </c>
      <c r="EI106" s="442">
        <f>'Table 2'!BD99</f>
      </c>
      <c r="EJ106" s="442">
        <f>'Table 2'!BE99</f>
      </c>
      <c r="EK106" s="442">
        <f>'Table 2'!BF99</f>
      </c>
      <c r="EL106" s="442">
        <f>'Table 2'!BG99</f>
      </c>
      <c r="EM106" s="442">
        <f>'Table 2'!BH99</f>
      </c>
      <c r="EN106" s="442">
        <f>'Table 2'!BT99</f>
      </c>
      <c r="EO106" s="434">
        <f aca="true" t="shared" si="66" ref="EO106:EO117">IF(LEN(TRIM(DW106&amp;DX106&amp;DY106&amp;DZ106&amp;EA106&amp;EB106&amp;EC106&amp;ED106&amp;EE106&amp;EF106&amp;EG106&amp;EH106&amp;EI106&amp;EJ106&amp;EK106&amp;EL106&amp;EM106&amp;EN106))&gt;0,1,0)</f>
        <v>0</v>
      </c>
    </row>
    <row r="107" spans="2:145" ht="12.75">
      <c r="B107" s="480">
        <v>12</v>
      </c>
      <c r="C107" s="531" t="s">
        <v>585</v>
      </c>
      <c r="D107" s="531">
        <v>4014</v>
      </c>
      <c r="E107" s="522"/>
      <c r="F107" s="522"/>
      <c r="G107" s="522"/>
      <c r="H107" s="522"/>
      <c r="I107" s="522"/>
      <c r="J107" s="522"/>
      <c r="K107" s="522"/>
      <c r="L107" s="522"/>
      <c r="M107" s="586"/>
      <c r="N107" s="481"/>
      <c r="O107" s="481"/>
      <c r="P107" s="481"/>
      <c r="Q107" s="481"/>
      <c r="R107" s="481"/>
      <c r="S107" s="481">
        <v>250</v>
      </c>
      <c r="T107" s="481">
        <v>249</v>
      </c>
      <c r="U107" s="481">
        <v>249</v>
      </c>
      <c r="V107" s="481"/>
      <c r="W107" s="481">
        <v>251</v>
      </c>
      <c r="X107" s="587">
        <v>249</v>
      </c>
      <c r="Y107" s="587"/>
      <c r="Z107" s="522"/>
      <c r="AA107" s="588">
        <v>0</v>
      </c>
      <c r="AB107" s="481">
        <f t="shared" si="48"/>
        <v>1248</v>
      </c>
      <c r="AC107" s="481">
        <f t="shared" si="49"/>
        <v>3778625.1199999996</v>
      </c>
      <c r="AD107" s="481"/>
      <c r="AE107" s="481"/>
      <c r="AF107" s="481"/>
      <c r="AG107" s="481"/>
      <c r="AH107" s="481"/>
      <c r="AI107" s="532"/>
      <c r="AJ107" s="532">
        <f t="shared" si="50"/>
        <v>0</v>
      </c>
      <c r="AK107" s="532">
        <v>0</v>
      </c>
      <c r="AL107" s="532">
        <f t="shared" si="51"/>
        <v>0</v>
      </c>
      <c r="AM107" s="481"/>
      <c r="AN107" s="481"/>
      <c r="AO107" s="542">
        <f t="shared" si="52"/>
        <v>0</v>
      </c>
      <c r="AP107" s="481">
        <v>22847</v>
      </c>
      <c r="AQ107" s="481">
        <v>30550</v>
      </c>
      <c r="AR107" s="481">
        <v>25777</v>
      </c>
      <c r="AS107" s="481"/>
      <c r="AT107" s="481">
        <v>0</v>
      </c>
      <c r="AU107" s="532">
        <f t="shared" si="53"/>
        <v>79174</v>
      </c>
      <c r="AV107" s="481">
        <v>0</v>
      </c>
      <c r="AW107" s="481">
        <f t="shared" si="54"/>
        <v>9112</v>
      </c>
      <c r="AX107" s="532">
        <f t="shared" si="55"/>
        <v>9112</v>
      </c>
      <c r="AY107" s="481">
        <v>22007</v>
      </c>
      <c r="AZ107" s="481">
        <v>9289</v>
      </c>
      <c r="BA107" s="481">
        <v>11258</v>
      </c>
      <c r="BB107" s="481">
        <f t="shared" si="56"/>
        <v>17803</v>
      </c>
      <c r="BC107" s="532">
        <f t="shared" si="57"/>
        <v>60357</v>
      </c>
      <c r="BD107" s="481"/>
      <c r="BE107" s="481">
        <v>12695</v>
      </c>
      <c r="BF107" s="481">
        <v>0</v>
      </c>
      <c r="BG107" s="481">
        <v>6769</v>
      </c>
      <c r="BH107" s="481">
        <v>8657</v>
      </c>
      <c r="BI107" s="532">
        <f t="shared" si="58"/>
        <v>28121</v>
      </c>
      <c r="BJ107" s="481">
        <v>89826</v>
      </c>
      <c r="BK107" s="481">
        <v>73</v>
      </c>
      <c r="BL107" s="481">
        <v>215869</v>
      </c>
      <c r="BM107" s="481">
        <v>16452</v>
      </c>
      <c r="BN107" s="532">
        <f t="shared" si="59"/>
        <v>322220</v>
      </c>
      <c r="BO107" s="481">
        <f t="shared" si="60"/>
        <v>223235</v>
      </c>
      <c r="BP107" s="481"/>
      <c r="BQ107" s="481">
        <v>0</v>
      </c>
      <c r="BR107" s="481">
        <v>40379</v>
      </c>
      <c r="BS107" s="481">
        <v>0</v>
      </c>
      <c r="BT107" s="532">
        <f t="shared" si="61"/>
        <v>263614</v>
      </c>
      <c r="BU107" s="481"/>
      <c r="BV107" s="481">
        <v>0</v>
      </c>
      <c r="BW107" s="532">
        <f t="shared" si="62"/>
        <v>0</v>
      </c>
      <c r="BX107" s="532">
        <v>0</v>
      </c>
      <c r="BY107" s="532">
        <f t="shared" si="63"/>
        <v>4541223.119999999</v>
      </c>
      <c r="BZ107" s="543">
        <f t="shared" si="64"/>
        <v>9082446.239999998</v>
      </c>
      <c r="CA107" s="441">
        <f t="shared" si="65"/>
        <v>3778625.1199999996</v>
      </c>
      <c r="CC107" s="316">
        <v>-0.30999999959021807</v>
      </c>
      <c r="DW107" s="483"/>
      <c r="DX107" s="442">
        <f>'Table 2'!AS100</f>
      </c>
      <c r="DY107" s="442">
        <f>'Table 2'!AT100</f>
      </c>
      <c r="DZ107" s="442">
        <f>'Table 2'!AU100</f>
      </c>
      <c r="EA107" s="442">
        <f>'Table 2'!AV100</f>
      </c>
      <c r="EB107" s="442">
        <f>'Table 2'!AW100</f>
      </c>
      <c r="EC107" s="442">
        <f>'Table 2'!AX100</f>
      </c>
      <c r="ED107" s="442">
        <f>'Table 2'!AY100</f>
      </c>
      <c r="EE107" s="442">
        <f>'Table 2'!AZ100</f>
      </c>
      <c r="EF107" s="442">
        <f>'Table 2'!BA100</f>
      </c>
      <c r="EG107" s="442">
        <f>'Table 2'!BB100</f>
      </c>
      <c r="EH107" s="442">
        <f>'Table 2'!BC100</f>
      </c>
      <c r="EI107" s="442">
        <f>'Table 2'!BD100</f>
      </c>
      <c r="EJ107" s="442">
        <f>'Table 2'!BE100</f>
      </c>
      <c r="EK107" s="442">
        <f>'Table 2'!BF100</f>
      </c>
      <c r="EL107" s="442">
        <f>'Table 2'!BG100</f>
      </c>
      <c r="EM107" s="442">
        <f>'Table 2'!BH100</f>
      </c>
      <c r="EN107" s="442">
        <f>'Table 2'!BT100</f>
      </c>
      <c r="EO107" s="434">
        <f t="shared" si="66"/>
        <v>0</v>
      </c>
    </row>
    <row r="108" spans="2:145" ht="12.75">
      <c r="B108" s="480">
        <v>1</v>
      </c>
      <c r="C108" s="531" t="s">
        <v>586</v>
      </c>
      <c r="D108" s="531">
        <v>4015</v>
      </c>
      <c r="E108" s="522"/>
      <c r="F108" s="522"/>
      <c r="G108" s="522"/>
      <c r="H108" s="522"/>
      <c r="I108" s="522"/>
      <c r="J108" s="522"/>
      <c r="K108" s="522"/>
      <c r="L108" s="522"/>
      <c r="M108" s="586"/>
      <c r="N108" s="481"/>
      <c r="O108" s="481"/>
      <c r="P108" s="481"/>
      <c r="Q108" s="481"/>
      <c r="R108" s="481"/>
      <c r="S108" s="481">
        <v>260</v>
      </c>
      <c r="T108" s="481">
        <v>254</v>
      </c>
      <c r="U108" s="481">
        <v>260</v>
      </c>
      <c r="V108" s="481"/>
      <c r="W108" s="481">
        <v>253</v>
      </c>
      <c r="X108" s="587">
        <v>248</v>
      </c>
      <c r="Y108" s="587"/>
      <c r="Z108" s="522"/>
      <c r="AA108" s="588">
        <v>0</v>
      </c>
      <c r="AB108" s="481">
        <f t="shared" si="48"/>
        <v>1275</v>
      </c>
      <c r="AC108" s="481">
        <f t="shared" si="49"/>
        <v>3854645.55</v>
      </c>
      <c r="AD108" s="481"/>
      <c r="AE108" s="481"/>
      <c r="AF108" s="481"/>
      <c r="AG108" s="481"/>
      <c r="AH108" s="481"/>
      <c r="AI108" s="532"/>
      <c r="AJ108" s="532">
        <f t="shared" si="50"/>
        <v>0</v>
      </c>
      <c r="AK108" s="532">
        <v>0</v>
      </c>
      <c r="AL108" s="532">
        <f t="shared" si="51"/>
        <v>0</v>
      </c>
      <c r="AM108" s="481"/>
      <c r="AN108" s="481"/>
      <c r="AO108" s="542">
        <f t="shared" si="52"/>
        <v>0</v>
      </c>
      <c r="AP108" s="481">
        <v>86487</v>
      </c>
      <c r="AQ108" s="481">
        <v>61552</v>
      </c>
      <c r="AR108" s="481">
        <v>51935</v>
      </c>
      <c r="AS108" s="481"/>
      <c r="AT108" s="481">
        <v>412773</v>
      </c>
      <c r="AU108" s="532">
        <f t="shared" si="53"/>
        <v>612747</v>
      </c>
      <c r="AV108" s="481">
        <v>15823</v>
      </c>
      <c r="AW108" s="481">
        <f t="shared" si="54"/>
        <v>9112</v>
      </c>
      <c r="AX108" s="532">
        <f t="shared" si="55"/>
        <v>24935</v>
      </c>
      <c r="AY108" s="481">
        <v>44338</v>
      </c>
      <c r="AZ108" s="481">
        <v>21583</v>
      </c>
      <c r="BA108" s="481">
        <v>24128</v>
      </c>
      <c r="BB108" s="481">
        <f t="shared" si="56"/>
        <v>17803</v>
      </c>
      <c r="BC108" s="532">
        <f t="shared" si="57"/>
        <v>107852</v>
      </c>
      <c r="BD108" s="481"/>
      <c r="BE108" s="481">
        <v>21656</v>
      </c>
      <c r="BF108" s="481">
        <v>0</v>
      </c>
      <c r="BG108" s="481">
        <v>15729</v>
      </c>
      <c r="BH108" s="481">
        <v>18555</v>
      </c>
      <c r="BI108" s="532">
        <f t="shared" si="58"/>
        <v>55940</v>
      </c>
      <c r="BJ108" s="481">
        <v>84023</v>
      </c>
      <c r="BK108" s="481">
        <v>8789</v>
      </c>
      <c r="BL108" s="481">
        <v>226016</v>
      </c>
      <c r="BM108" s="481">
        <v>13609</v>
      </c>
      <c r="BN108" s="532">
        <f t="shared" si="59"/>
        <v>332437</v>
      </c>
      <c r="BO108" s="481">
        <f t="shared" si="60"/>
        <v>223235</v>
      </c>
      <c r="BP108" s="481"/>
      <c r="BQ108" s="481">
        <v>0</v>
      </c>
      <c r="BR108" s="481">
        <v>42277</v>
      </c>
      <c r="BS108" s="481">
        <v>0</v>
      </c>
      <c r="BT108" s="532">
        <f t="shared" si="61"/>
        <v>265512</v>
      </c>
      <c r="BU108" s="481"/>
      <c r="BV108" s="481">
        <v>0</v>
      </c>
      <c r="BW108" s="532">
        <f t="shared" si="62"/>
        <v>0</v>
      </c>
      <c r="BX108" s="532">
        <v>0</v>
      </c>
      <c r="BY108" s="532">
        <f t="shared" si="63"/>
        <v>5254068.55</v>
      </c>
      <c r="BZ108" s="543">
        <f t="shared" si="64"/>
        <v>10508137.1</v>
      </c>
      <c r="CA108" s="441">
        <f t="shared" si="65"/>
        <v>3854645.55</v>
      </c>
      <c r="CC108" s="316">
        <v>0.2599999997764826</v>
      </c>
      <c r="DW108" s="483"/>
      <c r="DX108" s="442">
        <f>'Table 2'!AS101</f>
      </c>
      <c r="DY108" s="442">
        <f>'Table 2'!AT101</f>
      </c>
      <c r="DZ108" s="442">
        <f>'Table 2'!AU101</f>
      </c>
      <c r="EA108" s="442">
        <f>'Table 2'!AV101</f>
      </c>
      <c r="EB108" s="442">
        <f>'Table 2'!AW101</f>
      </c>
      <c r="EC108" s="442">
        <f>'Table 2'!AX101</f>
      </c>
      <c r="ED108" s="442">
        <f>'Table 2'!AY101</f>
      </c>
      <c r="EE108" s="442">
        <f>'Table 2'!AZ101</f>
      </c>
      <c r="EF108" s="442">
        <f>'Table 2'!BA101</f>
      </c>
      <c r="EG108" s="442">
        <f>'Table 2'!BB101</f>
      </c>
      <c r="EH108" s="442">
        <f>'Table 2'!BC101</f>
      </c>
      <c r="EI108" s="442">
        <f>'Table 2'!BD101</f>
      </c>
      <c r="EJ108" s="442">
        <f>'Table 2'!BE101</f>
      </c>
      <c r="EK108" s="442">
        <f>'Table 2'!BF101</f>
      </c>
      <c r="EL108" s="442">
        <f>'Table 2'!BG101</f>
      </c>
      <c r="EM108" s="442">
        <f>'Table 2'!BH101</f>
      </c>
      <c r="EN108" s="442">
        <f>'Table 2'!BT101</f>
      </c>
      <c r="EO108" s="434">
        <f t="shared" si="66"/>
        <v>0</v>
      </c>
    </row>
    <row r="109" spans="2:145" ht="12.75">
      <c r="B109" s="480">
        <v>3</v>
      </c>
      <c r="C109" s="531" t="s">
        <v>587</v>
      </c>
      <c r="D109" s="531">
        <v>4017</v>
      </c>
      <c r="E109" s="522"/>
      <c r="F109" s="522"/>
      <c r="G109" s="522"/>
      <c r="H109" s="522"/>
      <c r="I109" s="522"/>
      <c r="J109" s="522"/>
      <c r="K109" s="522"/>
      <c r="L109" s="522"/>
      <c r="M109" s="586"/>
      <c r="N109" s="481"/>
      <c r="O109" s="481"/>
      <c r="P109" s="481"/>
      <c r="Q109" s="481"/>
      <c r="R109" s="481"/>
      <c r="S109" s="481">
        <v>248</v>
      </c>
      <c r="T109" s="481">
        <v>248</v>
      </c>
      <c r="U109" s="481">
        <v>248</v>
      </c>
      <c r="V109" s="481"/>
      <c r="W109" s="481">
        <v>250</v>
      </c>
      <c r="X109" s="587">
        <v>248</v>
      </c>
      <c r="Y109" s="587"/>
      <c r="Z109" s="522"/>
      <c r="AA109" s="588">
        <v>112</v>
      </c>
      <c r="AB109" s="481">
        <f t="shared" si="48"/>
        <v>1354</v>
      </c>
      <c r="AC109" s="481">
        <f t="shared" si="49"/>
        <v>3760678.26</v>
      </c>
      <c r="AD109" s="481"/>
      <c r="AE109" s="481"/>
      <c r="AF109" s="481"/>
      <c r="AG109" s="481"/>
      <c r="AH109" s="481"/>
      <c r="AI109" s="532"/>
      <c r="AJ109" s="532">
        <f t="shared" si="50"/>
        <v>0</v>
      </c>
      <c r="AK109" s="532">
        <v>1023491</v>
      </c>
      <c r="AL109" s="532">
        <f t="shared" si="51"/>
        <v>1023491</v>
      </c>
      <c r="AM109" s="481"/>
      <c r="AN109" s="481"/>
      <c r="AO109" s="542">
        <f t="shared" si="52"/>
        <v>0</v>
      </c>
      <c r="AP109" s="481">
        <v>41119</v>
      </c>
      <c r="AQ109" s="481">
        <v>26535</v>
      </c>
      <c r="AR109" s="481">
        <v>22389</v>
      </c>
      <c r="AS109" s="481"/>
      <c r="AT109" s="481">
        <v>0</v>
      </c>
      <c r="AU109" s="532">
        <f t="shared" si="53"/>
        <v>90043</v>
      </c>
      <c r="AV109" s="481">
        <v>5472</v>
      </c>
      <c r="AW109" s="481">
        <f t="shared" si="54"/>
        <v>9112</v>
      </c>
      <c r="AX109" s="532">
        <f t="shared" si="55"/>
        <v>14584</v>
      </c>
      <c r="AY109" s="481">
        <v>19115</v>
      </c>
      <c r="AZ109" s="481">
        <v>5191</v>
      </c>
      <c r="BA109" s="481">
        <v>12261</v>
      </c>
      <c r="BB109" s="481">
        <f t="shared" si="56"/>
        <v>17803</v>
      </c>
      <c r="BC109" s="532">
        <f t="shared" si="57"/>
        <v>54370</v>
      </c>
      <c r="BD109" s="481"/>
      <c r="BE109" s="481">
        <v>4854</v>
      </c>
      <c r="BF109" s="481">
        <v>0</v>
      </c>
      <c r="BG109" s="481">
        <v>3783</v>
      </c>
      <c r="BH109" s="481">
        <v>9428</v>
      </c>
      <c r="BI109" s="532">
        <f t="shared" si="58"/>
        <v>18065</v>
      </c>
      <c r="BJ109" s="481">
        <v>89322</v>
      </c>
      <c r="BK109" s="481">
        <v>7263</v>
      </c>
      <c r="BL109" s="481">
        <v>178829</v>
      </c>
      <c r="BM109" s="481">
        <v>13274</v>
      </c>
      <c r="BN109" s="532">
        <f t="shared" si="59"/>
        <v>288688</v>
      </c>
      <c r="BO109" s="481">
        <f t="shared" si="60"/>
        <v>223235</v>
      </c>
      <c r="BP109" s="481"/>
      <c r="BQ109" s="481">
        <v>51703</v>
      </c>
      <c r="BR109" s="481">
        <v>33450</v>
      </c>
      <c r="BS109" s="481">
        <v>0</v>
      </c>
      <c r="BT109" s="532">
        <f t="shared" si="61"/>
        <v>308388</v>
      </c>
      <c r="BU109" s="481"/>
      <c r="BV109" s="481">
        <v>-48848</v>
      </c>
      <c r="BW109" s="532">
        <f t="shared" si="62"/>
        <v>-48848</v>
      </c>
      <c r="BX109" s="532">
        <v>0</v>
      </c>
      <c r="BY109" s="532">
        <f t="shared" si="63"/>
        <v>5509459.26</v>
      </c>
      <c r="BZ109" s="543">
        <f t="shared" si="64"/>
        <v>11018918.52</v>
      </c>
      <c r="CA109" s="441">
        <f t="shared" si="65"/>
        <v>3760678.26</v>
      </c>
      <c r="CC109" s="316">
        <v>-0.10999999940395355</v>
      </c>
      <c r="DW109" s="483"/>
      <c r="DX109" s="442">
        <f>'Table 2'!AS102</f>
      </c>
      <c r="DY109" s="442">
        <f>'Table 2'!AT102</f>
      </c>
      <c r="DZ109" s="442">
        <f>'Table 2'!AU102</f>
      </c>
      <c r="EA109" s="442">
        <f>'Table 2'!AV102</f>
      </c>
      <c r="EB109" s="442">
        <f>'Table 2'!AW102</f>
      </c>
      <c r="EC109" s="442">
        <f>'Table 2'!AX102</f>
      </c>
      <c r="ED109" s="442">
        <f>'Table 2'!AY102</f>
      </c>
      <c r="EE109" s="442">
        <f>'Table 2'!AZ102</f>
      </c>
      <c r="EF109" s="442">
        <f>'Table 2'!BA102</f>
      </c>
      <c r="EG109" s="442">
        <f>'Table 2'!BB102</f>
      </c>
      <c r="EH109" s="442">
        <f>'Table 2'!BC102</f>
      </c>
      <c r="EI109" s="442">
        <f>'Table 2'!BD102</f>
      </c>
      <c r="EJ109" s="442">
        <f>'Table 2'!BE102</f>
      </c>
      <c r="EK109" s="442">
        <f>'Table 2'!BF102</f>
      </c>
      <c r="EL109" s="442">
        <f>'Table 2'!BG102</f>
      </c>
      <c r="EM109" s="442">
        <f>'Table 2'!BH102</f>
      </c>
      <c r="EN109" s="442">
        <f>'Table 2'!BT102</f>
      </c>
      <c r="EO109" s="434">
        <f t="shared" si="66"/>
        <v>0</v>
      </c>
    </row>
    <row r="110" spans="2:145" ht="12.75">
      <c r="B110" s="480">
        <v>6</v>
      </c>
      <c r="C110" s="531" t="s">
        <v>588</v>
      </c>
      <c r="D110" s="531">
        <v>4018</v>
      </c>
      <c r="E110" s="522"/>
      <c r="F110" s="522"/>
      <c r="G110" s="522"/>
      <c r="H110" s="522"/>
      <c r="I110" s="522"/>
      <c r="J110" s="522"/>
      <c r="K110" s="522"/>
      <c r="L110" s="522"/>
      <c r="M110" s="586"/>
      <c r="N110" s="481"/>
      <c r="O110" s="481"/>
      <c r="P110" s="481"/>
      <c r="Q110" s="481"/>
      <c r="R110" s="481"/>
      <c r="S110" s="481">
        <v>247</v>
      </c>
      <c r="T110" s="481">
        <v>246</v>
      </c>
      <c r="U110" s="481">
        <v>246</v>
      </c>
      <c r="V110" s="481"/>
      <c r="W110" s="481">
        <v>247</v>
      </c>
      <c r="X110" s="587">
        <v>247</v>
      </c>
      <c r="Y110" s="587"/>
      <c r="Z110" s="522"/>
      <c r="AA110" s="588">
        <v>0</v>
      </c>
      <c r="AB110" s="481">
        <f t="shared" si="48"/>
        <v>1233</v>
      </c>
      <c r="AC110" s="481">
        <f t="shared" si="49"/>
        <v>3733455.83</v>
      </c>
      <c r="AD110" s="481"/>
      <c r="AE110" s="481"/>
      <c r="AF110" s="481"/>
      <c r="AG110" s="481"/>
      <c r="AH110" s="481"/>
      <c r="AI110" s="532"/>
      <c r="AJ110" s="532">
        <f t="shared" si="50"/>
        <v>0</v>
      </c>
      <c r="AK110" s="532">
        <v>0</v>
      </c>
      <c r="AL110" s="532">
        <f t="shared" si="51"/>
        <v>0</v>
      </c>
      <c r="AM110" s="481"/>
      <c r="AN110" s="481"/>
      <c r="AO110" s="542">
        <f t="shared" si="52"/>
        <v>0</v>
      </c>
      <c r="AP110" s="481">
        <v>65931</v>
      </c>
      <c r="AQ110" s="481">
        <v>66178</v>
      </c>
      <c r="AR110" s="481">
        <v>55839</v>
      </c>
      <c r="AS110" s="481"/>
      <c r="AT110" s="481">
        <v>0</v>
      </c>
      <c r="AU110" s="532">
        <f t="shared" si="53"/>
        <v>187948</v>
      </c>
      <c r="AV110" s="481">
        <v>0</v>
      </c>
      <c r="AW110" s="481">
        <f t="shared" si="54"/>
        <v>9112</v>
      </c>
      <c r="AX110" s="532">
        <f t="shared" si="55"/>
        <v>9112</v>
      </c>
      <c r="AY110" s="481">
        <v>47671</v>
      </c>
      <c r="AZ110" s="481">
        <v>34423</v>
      </c>
      <c r="BA110" s="481">
        <v>36098</v>
      </c>
      <c r="BB110" s="481">
        <f t="shared" si="56"/>
        <v>17803</v>
      </c>
      <c r="BC110" s="532">
        <f t="shared" si="57"/>
        <v>135995</v>
      </c>
      <c r="BD110" s="481"/>
      <c r="BE110" s="481">
        <v>34724</v>
      </c>
      <c r="BF110" s="481">
        <v>0</v>
      </c>
      <c r="BG110" s="481">
        <v>25087</v>
      </c>
      <c r="BH110" s="481">
        <v>27759</v>
      </c>
      <c r="BI110" s="532">
        <f t="shared" si="58"/>
        <v>87570</v>
      </c>
      <c r="BJ110" s="481">
        <v>76706</v>
      </c>
      <c r="BK110" s="481">
        <v>11397</v>
      </c>
      <c r="BL110" s="481">
        <v>188950</v>
      </c>
      <c r="BM110" s="481">
        <v>15044</v>
      </c>
      <c r="BN110" s="532">
        <f t="shared" si="59"/>
        <v>292097</v>
      </c>
      <c r="BO110" s="481">
        <f t="shared" si="60"/>
        <v>223235</v>
      </c>
      <c r="BP110" s="481"/>
      <c r="BQ110" s="481">
        <v>0</v>
      </c>
      <c r="BR110" s="481">
        <v>35344</v>
      </c>
      <c r="BS110" s="481">
        <v>0</v>
      </c>
      <c r="BT110" s="532">
        <f t="shared" si="61"/>
        <v>258579</v>
      </c>
      <c r="BU110" s="481"/>
      <c r="BV110" s="481">
        <v>0</v>
      </c>
      <c r="BW110" s="532">
        <f t="shared" si="62"/>
        <v>0</v>
      </c>
      <c r="BX110" s="532">
        <v>0</v>
      </c>
      <c r="BY110" s="532">
        <f t="shared" si="63"/>
        <v>4704756.83</v>
      </c>
      <c r="BZ110" s="543">
        <f t="shared" si="64"/>
        <v>9409513.66</v>
      </c>
      <c r="CA110" s="441">
        <f t="shared" si="65"/>
        <v>3733455.83</v>
      </c>
      <c r="CC110" s="316">
        <v>-0.2900000000372529</v>
      </c>
      <c r="DW110" s="483"/>
      <c r="DX110" s="442">
        <f>'Table 2'!AS103</f>
      </c>
      <c r="DY110" s="442">
        <f>'Table 2'!AT103</f>
      </c>
      <c r="DZ110" s="442">
        <f>'Table 2'!AU103</f>
      </c>
      <c r="EA110" s="442">
        <f>'Table 2'!AV103</f>
      </c>
      <c r="EB110" s="442">
        <f>'Table 2'!AW103</f>
      </c>
      <c r="EC110" s="442">
        <f>'Table 2'!AX103</f>
      </c>
      <c r="ED110" s="442">
        <f>'Table 2'!AY103</f>
      </c>
      <c r="EE110" s="442">
        <f>'Table 2'!AZ103</f>
      </c>
      <c r="EF110" s="442">
        <f>'Table 2'!BA103</f>
      </c>
      <c r="EG110" s="442">
        <f>'Table 2'!BB103</f>
      </c>
      <c r="EH110" s="442">
        <f>'Table 2'!BC103</f>
      </c>
      <c r="EI110" s="442">
        <f>'Table 2'!BD103</f>
      </c>
      <c r="EJ110" s="442">
        <f>'Table 2'!BE103</f>
      </c>
      <c r="EK110" s="442">
        <f>'Table 2'!BF103</f>
      </c>
      <c r="EL110" s="442">
        <f>'Table 2'!BG103</f>
      </c>
      <c r="EM110" s="442">
        <f>'Table 2'!BH103</f>
      </c>
      <c r="EN110" s="442">
        <f>'Table 2'!BT103</f>
      </c>
      <c r="EO110" s="434">
        <f t="shared" si="66"/>
        <v>0</v>
      </c>
    </row>
    <row r="111" spans="2:145" ht="12.75">
      <c r="B111" s="480">
        <v>7</v>
      </c>
      <c r="C111" s="531" t="s">
        <v>589</v>
      </c>
      <c r="D111" s="531">
        <v>4019</v>
      </c>
      <c r="E111" s="522"/>
      <c r="F111" s="522"/>
      <c r="G111" s="522"/>
      <c r="H111" s="522"/>
      <c r="I111" s="522"/>
      <c r="J111" s="522"/>
      <c r="K111" s="522"/>
      <c r="L111" s="522"/>
      <c r="M111" s="586"/>
      <c r="N111" s="481"/>
      <c r="O111" s="481"/>
      <c r="P111" s="481"/>
      <c r="Q111" s="481"/>
      <c r="R111" s="481"/>
      <c r="S111" s="481">
        <v>210</v>
      </c>
      <c r="T111" s="481">
        <v>210</v>
      </c>
      <c r="U111" s="481">
        <v>211</v>
      </c>
      <c r="V111" s="481"/>
      <c r="W111" s="481">
        <v>201</v>
      </c>
      <c r="X111" s="587">
        <v>209</v>
      </c>
      <c r="Y111" s="587"/>
      <c r="Z111" s="522"/>
      <c r="AA111" s="588">
        <v>0</v>
      </c>
      <c r="AB111" s="481">
        <f t="shared" si="48"/>
        <v>1041</v>
      </c>
      <c r="AC111" s="481">
        <f t="shared" si="49"/>
        <v>3149200.55</v>
      </c>
      <c r="AD111" s="481"/>
      <c r="AE111" s="481"/>
      <c r="AF111" s="481"/>
      <c r="AG111" s="481"/>
      <c r="AH111" s="481"/>
      <c r="AI111" s="532"/>
      <c r="AJ111" s="532">
        <f t="shared" si="50"/>
        <v>0</v>
      </c>
      <c r="AK111" s="532">
        <v>0</v>
      </c>
      <c r="AL111" s="532">
        <f t="shared" si="51"/>
        <v>0</v>
      </c>
      <c r="AM111" s="481"/>
      <c r="AN111" s="481"/>
      <c r="AO111" s="542">
        <f t="shared" si="52"/>
        <v>0</v>
      </c>
      <c r="AP111" s="481">
        <v>54827</v>
      </c>
      <c r="AQ111" s="481">
        <v>62855</v>
      </c>
      <c r="AR111" s="481">
        <v>53035</v>
      </c>
      <c r="AS111" s="481"/>
      <c r="AT111" s="481">
        <v>0</v>
      </c>
      <c r="AU111" s="532">
        <f t="shared" si="53"/>
        <v>170717</v>
      </c>
      <c r="AV111" s="481">
        <v>0</v>
      </c>
      <c r="AW111" s="481">
        <f t="shared" si="54"/>
        <v>9112</v>
      </c>
      <c r="AX111" s="532">
        <f t="shared" si="55"/>
        <v>9112</v>
      </c>
      <c r="AY111" s="481">
        <v>45276</v>
      </c>
      <c r="AZ111" s="481">
        <v>23222</v>
      </c>
      <c r="BA111" s="481">
        <v>27057</v>
      </c>
      <c r="BB111" s="481">
        <f t="shared" si="56"/>
        <v>17803</v>
      </c>
      <c r="BC111" s="532">
        <f t="shared" si="57"/>
        <v>113358</v>
      </c>
      <c r="BD111" s="481"/>
      <c r="BE111" s="481">
        <v>28377</v>
      </c>
      <c r="BF111" s="481">
        <v>0</v>
      </c>
      <c r="BG111" s="481">
        <v>16924</v>
      </c>
      <c r="BH111" s="481">
        <v>20807</v>
      </c>
      <c r="BI111" s="532">
        <f t="shared" si="58"/>
        <v>66108</v>
      </c>
      <c r="BJ111" s="481">
        <v>78220</v>
      </c>
      <c r="BK111" s="481">
        <v>6829</v>
      </c>
      <c r="BL111" s="481">
        <v>154933</v>
      </c>
      <c r="BM111" s="481">
        <v>14268</v>
      </c>
      <c r="BN111" s="532">
        <f t="shared" si="59"/>
        <v>254250</v>
      </c>
      <c r="BO111" s="481">
        <f t="shared" si="60"/>
        <v>223235</v>
      </c>
      <c r="BP111" s="481"/>
      <c r="BQ111" s="481">
        <v>0</v>
      </c>
      <c r="BR111" s="481">
        <v>28981</v>
      </c>
      <c r="BS111" s="481">
        <v>0</v>
      </c>
      <c r="BT111" s="532">
        <f t="shared" si="61"/>
        <v>252216</v>
      </c>
      <c r="BU111" s="481"/>
      <c r="BV111" s="481">
        <v>0</v>
      </c>
      <c r="BW111" s="532">
        <f t="shared" si="62"/>
        <v>0</v>
      </c>
      <c r="BX111" s="532">
        <v>0</v>
      </c>
      <c r="BY111" s="532">
        <f t="shared" si="63"/>
        <v>4014961.55</v>
      </c>
      <c r="BZ111" s="543">
        <f t="shared" si="64"/>
        <v>8029923.1</v>
      </c>
      <c r="CA111" s="441">
        <f t="shared" si="65"/>
        <v>3149200.55</v>
      </c>
      <c r="CC111" s="316">
        <v>-0.1699999999254942</v>
      </c>
      <c r="DW111" s="483"/>
      <c r="DX111" s="442">
        <f>'Table 2'!AS104</f>
      </c>
      <c r="DY111" s="442">
        <f>'Table 2'!AT104</f>
      </c>
      <c r="DZ111" s="442">
        <f>'Table 2'!AU104</f>
      </c>
      <c r="EA111" s="442">
        <f>'Table 2'!AV104</f>
      </c>
      <c r="EB111" s="442">
        <f>'Table 2'!AW104</f>
      </c>
      <c r="EC111" s="442">
        <f>'Table 2'!AX104</f>
      </c>
      <c r="ED111" s="442">
        <f>'Table 2'!AY104</f>
      </c>
      <c r="EE111" s="442">
        <f>'Table 2'!AZ104</f>
      </c>
      <c r="EF111" s="442">
        <f>'Table 2'!BA104</f>
      </c>
      <c r="EG111" s="442">
        <f>'Table 2'!BB104</f>
      </c>
      <c r="EH111" s="442">
        <f>'Table 2'!BC104</f>
      </c>
      <c r="EI111" s="442">
        <f>'Table 2'!BD104</f>
      </c>
      <c r="EJ111" s="442">
        <f>'Table 2'!BE104</f>
      </c>
      <c r="EK111" s="442">
        <f>'Table 2'!BF104</f>
      </c>
      <c r="EL111" s="442">
        <f>'Table 2'!BG104</f>
      </c>
      <c r="EM111" s="442">
        <f>'Table 2'!BH104</f>
      </c>
      <c r="EN111" s="442">
        <f>'Table 2'!BT104</f>
      </c>
      <c r="EO111" s="434">
        <f t="shared" si="66"/>
        <v>0</v>
      </c>
    </row>
    <row r="112" spans="2:145" ht="12.75">
      <c r="B112" s="480">
        <v>8</v>
      </c>
      <c r="C112" s="531" t="s">
        <v>590</v>
      </c>
      <c r="D112" s="531">
        <v>4020</v>
      </c>
      <c r="E112" s="522"/>
      <c r="F112" s="522"/>
      <c r="G112" s="522"/>
      <c r="H112" s="522"/>
      <c r="I112" s="522"/>
      <c r="J112" s="522"/>
      <c r="K112" s="522"/>
      <c r="L112" s="522"/>
      <c r="M112" s="586"/>
      <c r="N112" s="481"/>
      <c r="O112" s="481"/>
      <c r="P112" s="481"/>
      <c r="Q112" s="481"/>
      <c r="R112" s="481"/>
      <c r="S112" s="481">
        <v>270</v>
      </c>
      <c r="T112" s="481">
        <v>261</v>
      </c>
      <c r="U112" s="481">
        <v>262</v>
      </c>
      <c r="V112" s="481"/>
      <c r="W112" s="481">
        <v>256</v>
      </c>
      <c r="X112" s="587">
        <v>253</v>
      </c>
      <c r="Y112" s="587"/>
      <c r="Z112" s="522"/>
      <c r="AA112" s="588">
        <v>0</v>
      </c>
      <c r="AB112" s="481">
        <f t="shared" si="48"/>
        <v>1302</v>
      </c>
      <c r="AC112" s="481">
        <f t="shared" si="49"/>
        <v>3935104.28</v>
      </c>
      <c r="AD112" s="481"/>
      <c r="AE112" s="481"/>
      <c r="AF112" s="481"/>
      <c r="AG112" s="481"/>
      <c r="AH112" s="481"/>
      <c r="AI112" s="532"/>
      <c r="AJ112" s="532">
        <f t="shared" si="50"/>
        <v>0</v>
      </c>
      <c r="AK112" s="532">
        <v>0</v>
      </c>
      <c r="AL112" s="532">
        <f t="shared" si="51"/>
        <v>0</v>
      </c>
      <c r="AM112" s="481"/>
      <c r="AN112" s="481"/>
      <c r="AO112" s="542">
        <f t="shared" si="52"/>
        <v>0</v>
      </c>
      <c r="AP112" s="481">
        <v>52804</v>
      </c>
      <c r="AQ112" s="481">
        <v>111485</v>
      </c>
      <c r="AR112" s="481">
        <v>94067</v>
      </c>
      <c r="AS112" s="481"/>
      <c r="AT112" s="481">
        <v>36025</v>
      </c>
      <c r="AU112" s="532">
        <f t="shared" si="53"/>
        <v>294381</v>
      </c>
      <c r="AV112" s="481">
        <v>0</v>
      </c>
      <c r="AW112" s="481">
        <f t="shared" si="54"/>
        <v>9112</v>
      </c>
      <c r="AX112" s="532">
        <f t="shared" si="55"/>
        <v>9112</v>
      </c>
      <c r="AY112" s="481">
        <v>80305</v>
      </c>
      <c r="AZ112" s="481">
        <v>41253</v>
      </c>
      <c r="BA112" s="481">
        <v>47676</v>
      </c>
      <c r="BB112" s="481">
        <f t="shared" si="56"/>
        <v>17803</v>
      </c>
      <c r="BC112" s="532">
        <f t="shared" si="57"/>
        <v>187037</v>
      </c>
      <c r="BD112" s="481"/>
      <c r="BE112" s="481">
        <v>48166</v>
      </c>
      <c r="BF112" s="481">
        <v>0</v>
      </c>
      <c r="BG112" s="481">
        <v>30064</v>
      </c>
      <c r="BH112" s="481">
        <v>36663</v>
      </c>
      <c r="BI112" s="532">
        <f t="shared" si="58"/>
        <v>114893</v>
      </c>
      <c r="BJ112" s="481">
        <v>91340</v>
      </c>
      <c r="BK112" s="481">
        <v>8409</v>
      </c>
      <c r="BL112" s="481">
        <v>235131</v>
      </c>
      <c r="BM112" s="481">
        <v>15384</v>
      </c>
      <c r="BN112" s="532">
        <f t="shared" si="59"/>
        <v>350264</v>
      </c>
      <c r="BO112" s="481">
        <f t="shared" si="60"/>
        <v>223235</v>
      </c>
      <c r="BP112" s="481"/>
      <c r="BQ112" s="481">
        <v>0</v>
      </c>
      <c r="BR112" s="481">
        <v>43982</v>
      </c>
      <c r="BS112" s="481">
        <v>0</v>
      </c>
      <c r="BT112" s="532">
        <f t="shared" si="61"/>
        <v>267217</v>
      </c>
      <c r="BU112" s="481"/>
      <c r="BV112" s="481">
        <v>0</v>
      </c>
      <c r="BW112" s="532">
        <f t="shared" si="62"/>
        <v>0</v>
      </c>
      <c r="BX112" s="532">
        <v>0</v>
      </c>
      <c r="BY112" s="532">
        <f t="shared" si="63"/>
        <v>5158008.279999999</v>
      </c>
      <c r="BZ112" s="543">
        <f t="shared" si="64"/>
        <v>10316016.559999999</v>
      </c>
      <c r="CA112" s="441">
        <f t="shared" si="65"/>
        <v>3935104.28</v>
      </c>
      <c r="CC112" s="316">
        <v>-0.4500000001862645</v>
      </c>
      <c r="DW112" s="483"/>
      <c r="DX112" s="442">
        <f>'Table 2'!AS105</f>
      </c>
      <c r="DY112" s="442">
        <f>'Table 2'!AT105</f>
      </c>
      <c r="DZ112" s="442">
        <f>'Table 2'!AU105</f>
      </c>
      <c r="EA112" s="442">
        <f>'Table 2'!AV105</f>
      </c>
      <c r="EB112" s="442">
        <f>'Table 2'!AW105</f>
      </c>
      <c r="EC112" s="442">
        <f>'Table 2'!AX105</f>
      </c>
      <c r="ED112" s="442">
        <f>'Table 2'!AY105</f>
      </c>
      <c r="EE112" s="442">
        <f>'Table 2'!AZ105</f>
      </c>
      <c r="EF112" s="442">
        <f>'Table 2'!BA105</f>
      </c>
      <c r="EG112" s="442">
        <f>'Table 2'!BB105</f>
      </c>
      <c r="EH112" s="442">
        <f>'Table 2'!BC105</f>
      </c>
      <c r="EI112" s="442">
        <f>'Table 2'!BD105</f>
      </c>
      <c r="EJ112" s="442">
        <f>'Table 2'!BE105</f>
      </c>
      <c r="EK112" s="442">
        <f>'Table 2'!BF105</f>
      </c>
      <c r="EL112" s="442">
        <f>'Table 2'!BG105</f>
      </c>
      <c r="EM112" s="442">
        <f>'Table 2'!BH105</f>
      </c>
      <c r="EN112" s="442">
        <f>'Table 2'!BT105</f>
      </c>
      <c r="EO112" s="434">
        <f t="shared" si="66"/>
        <v>0</v>
      </c>
    </row>
    <row r="113" spans="2:145" ht="12.75">
      <c r="B113" s="480">
        <v>4</v>
      </c>
      <c r="C113" s="531" t="s">
        <v>591</v>
      </c>
      <c r="D113" s="531">
        <v>4030</v>
      </c>
      <c r="E113" s="522"/>
      <c r="F113" s="522"/>
      <c r="G113" s="522"/>
      <c r="H113" s="522"/>
      <c r="I113" s="522"/>
      <c r="J113" s="522"/>
      <c r="K113" s="522"/>
      <c r="L113" s="522"/>
      <c r="M113" s="586"/>
      <c r="N113" s="481"/>
      <c r="O113" s="481"/>
      <c r="P113" s="481"/>
      <c r="Q113" s="481"/>
      <c r="R113" s="481"/>
      <c r="S113" s="481">
        <v>215</v>
      </c>
      <c r="T113" s="481">
        <v>217</v>
      </c>
      <c r="U113" s="481">
        <v>217</v>
      </c>
      <c r="V113" s="481"/>
      <c r="W113" s="481">
        <v>214</v>
      </c>
      <c r="X113" s="587">
        <v>212</v>
      </c>
      <c r="Y113" s="587"/>
      <c r="Z113" s="522"/>
      <c r="AA113" s="588">
        <v>274</v>
      </c>
      <c r="AB113" s="481">
        <f t="shared" si="48"/>
        <v>1349</v>
      </c>
      <c r="AC113" s="481">
        <f t="shared" si="49"/>
        <v>3252227.8899999997</v>
      </c>
      <c r="AD113" s="481"/>
      <c r="AE113" s="481"/>
      <c r="AF113" s="481"/>
      <c r="AG113" s="481"/>
      <c r="AH113" s="481"/>
      <c r="AI113" s="532"/>
      <c r="AJ113" s="532">
        <f t="shared" si="50"/>
        <v>0</v>
      </c>
      <c r="AK113" s="532">
        <v>1335482</v>
      </c>
      <c r="AL113" s="532">
        <f t="shared" si="51"/>
        <v>1335482</v>
      </c>
      <c r="AM113" s="481"/>
      <c r="AN113" s="481"/>
      <c r="AO113" s="542">
        <f t="shared" si="52"/>
        <v>0</v>
      </c>
      <c r="AP113" s="481">
        <v>42430</v>
      </c>
      <c r="AQ113" s="481">
        <v>39696</v>
      </c>
      <c r="AR113" s="481">
        <v>33494</v>
      </c>
      <c r="AS113" s="481"/>
      <c r="AT113" s="481">
        <v>0</v>
      </c>
      <c r="AU113" s="532">
        <f t="shared" si="53"/>
        <v>115620</v>
      </c>
      <c r="AV113" s="481">
        <v>0</v>
      </c>
      <c r="AW113" s="481">
        <f t="shared" si="54"/>
        <v>9112</v>
      </c>
      <c r="AX113" s="532">
        <f t="shared" si="55"/>
        <v>9112</v>
      </c>
      <c r="AY113" s="481">
        <v>28595</v>
      </c>
      <c r="AZ113" s="481">
        <v>12294</v>
      </c>
      <c r="BA113" s="481">
        <v>20856</v>
      </c>
      <c r="BB113" s="481">
        <f t="shared" si="56"/>
        <v>17803</v>
      </c>
      <c r="BC113" s="532">
        <f t="shared" si="57"/>
        <v>79548</v>
      </c>
      <c r="BD113" s="481"/>
      <c r="BE113" s="481">
        <v>13442</v>
      </c>
      <c r="BF113" s="481">
        <v>0</v>
      </c>
      <c r="BG113" s="481">
        <v>8960</v>
      </c>
      <c r="BH113" s="481">
        <v>16038</v>
      </c>
      <c r="BI113" s="532">
        <f t="shared" si="58"/>
        <v>38440</v>
      </c>
      <c r="BJ113" s="481">
        <v>98405</v>
      </c>
      <c r="BK113" s="481">
        <v>8294</v>
      </c>
      <c r="BL113" s="481">
        <v>201415</v>
      </c>
      <c r="BM113" s="481">
        <v>11910</v>
      </c>
      <c r="BN113" s="532">
        <f t="shared" si="59"/>
        <v>320024</v>
      </c>
      <c r="BO113" s="481">
        <f t="shared" si="60"/>
        <v>223235</v>
      </c>
      <c r="BP113" s="481"/>
      <c r="BQ113" s="481">
        <v>58233</v>
      </c>
      <c r="BR113" s="481">
        <v>37675</v>
      </c>
      <c r="BS113" s="481">
        <v>0</v>
      </c>
      <c r="BT113" s="532">
        <f t="shared" si="61"/>
        <v>319143</v>
      </c>
      <c r="BU113" s="481"/>
      <c r="BV113" s="481">
        <v>-127638</v>
      </c>
      <c r="BW113" s="532">
        <f t="shared" si="62"/>
        <v>-127638</v>
      </c>
      <c r="BX113" s="532">
        <v>0</v>
      </c>
      <c r="BY113" s="532">
        <f t="shared" si="63"/>
        <v>5341958.89</v>
      </c>
      <c r="BZ113" s="543">
        <f t="shared" si="64"/>
        <v>10683917.78</v>
      </c>
      <c r="CA113" s="441">
        <f t="shared" si="65"/>
        <v>3252227.8899999997</v>
      </c>
      <c r="CC113" s="316">
        <v>0.2800000002607703</v>
      </c>
      <c r="DW113" s="483"/>
      <c r="DX113" s="442">
        <f>'Table 2'!AS106</f>
      </c>
      <c r="DY113" s="442">
        <f>'Table 2'!AT106</f>
      </c>
      <c r="DZ113" s="442">
        <f>'Table 2'!AU106</f>
      </c>
      <c r="EA113" s="442">
        <f>'Table 2'!AV106</f>
      </c>
      <c r="EB113" s="442">
        <f>'Table 2'!AW106</f>
      </c>
      <c r="EC113" s="442">
        <f>'Table 2'!AX106</f>
      </c>
      <c r="ED113" s="442">
        <f>'Table 2'!AY106</f>
      </c>
      <c r="EE113" s="442">
        <f>'Table 2'!AZ106</f>
      </c>
      <c r="EF113" s="442">
        <f>'Table 2'!BA106</f>
      </c>
      <c r="EG113" s="442">
        <f>'Table 2'!BB106</f>
      </c>
      <c r="EH113" s="442">
        <f>'Table 2'!BC106</f>
      </c>
      <c r="EI113" s="442">
        <f>'Table 2'!BD106</f>
      </c>
      <c r="EJ113" s="442">
        <f>'Table 2'!BE106</f>
      </c>
      <c r="EK113" s="442">
        <f>'Table 2'!BF106</f>
      </c>
      <c r="EL113" s="442">
        <f>'Table 2'!BG106</f>
      </c>
      <c r="EM113" s="442">
        <f>'Table 2'!BH106</f>
      </c>
      <c r="EN113" s="442">
        <f>'Table 2'!BT106</f>
      </c>
      <c r="EO113" s="434">
        <f t="shared" si="66"/>
        <v>0</v>
      </c>
    </row>
    <row r="114" spans="2:145" ht="12.75">
      <c r="B114" s="480">
        <v>9</v>
      </c>
      <c r="C114" s="531" t="s">
        <v>592</v>
      </c>
      <c r="D114" s="531">
        <v>4031</v>
      </c>
      <c r="E114" s="522"/>
      <c r="F114" s="522"/>
      <c r="G114" s="522"/>
      <c r="H114" s="522"/>
      <c r="I114" s="522"/>
      <c r="J114" s="522"/>
      <c r="K114" s="522"/>
      <c r="L114" s="522"/>
      <c r="M114" s="586"/>
      <c r="N114" s="481"/>
      <c r="O114" s="481"/>
      <c r="P114" s="481"/>
      <c r="Q114" s="481"/>
      <c r="R114" s="481"/>
      <c r="S114" s="481">
        <v>165</v>
      </c>
      <c r="T114" s="481">
        <v>173</v>
      </c>
      <c r="U114" s="481">
        <v>200</v>
      </c>
      <c r="V114" s="481"/>
      <c r="W114" s="481">
        <v>178</v>
      </c>
      <c r="X114" s="587">
        <v>232</v>
      </c>
      <c r="Y114" s="587"/>
      <c r="Z114" s="522"/>
      <c r="AA114" s="588">
        <v>142</v>
      </c>
      <c r="AB114" s="481">
        <f t="shared" si="48"/>
        <v>1090</v>
      </c>
      <c r="AC114" s="481">
        <f t="shared" si="49"/>
        <v>2893596.8</v>
      </c>
      <c r="AD114" s="481"/>
      <c r="AE114" s="481"/>
      <c r="AF114" s="481"/>
      <c r="AG114" s="481"/>
      <c r="AH114" s="481"/>
      <c r="AI114" s="532"/>
      <c r="AJ114" s="532">
        <f t="shared" si="50"/>
        <v>0</v>
      </c>
      <c r="AK114" s="532">
        <v>667193</v>
      </c>
      <c r="AL114" s="532">
        <f t="shared" si="51"/>
        <v>667193</v>
      </c>
      <c r="AM114" s="481"/>
      <c r="AN114" s="481"/>
      <c r="AO114" s="542">
        <f t="shared" si="52"/>
        <v>0</v>
      </c>
      <c r="AP114" s="481">
        <v>53961</v>
      </c>
      <c r="AQ114" s="481">
        <v>88034</v>
      </c>
      <c r="AR114" s="481">
        <v>74280</v>
      </c>
      <c r="AS114" s="481"/>
      <c r="AT114" s="481">
        <v>0</v>
      </c>
      <c r="AU114" s="532">
        <f t="shared" si="53"/>
        <v>216275</v>
      </c>
      <c r="AV114" s="481">
        <v>0</v>
      </c>
      <c r="AW114" s="481">
        <f t="shared" si="54"/>
        <v>9112</v>
      </c>
      <c r="AX114" s="532">
        <f t="shared" si="55"/>
        <v>9112</v>
      </c>
      <c r="AY114" s="481">
        <v>63414</v>
      </c>
      <c r="AZ114" s="481">
        <v>44805</v>
      </c>
      <c r="BA114" s="481">
        <v>53599</v>
      </c>
      <c r="BB114" s="481">
        <f t="shared" si="56"/>
        <v>17803</v>
      </c>
      <c r="BC114" s="532">
        <f t="shared" si="57"/>
        <v>179621</v>
      </c>
      <c r="BD114" s="481"/>
      <c r="BE114" s="481">
        <v>54887</v>
      </c>
      <c r="BF114" s="481">
        <v>0</v>
      </c>
      <c r="BG114" s="481">
        <v>32652</v>
      </c>
      <c r="BH114" s="481">
        <v>41218</v>
      </c>
      <c r="BI114" s="532">
        <f t="shared" si="58"/>
        <v>128757</v>
      </c>
      <c r="BJ114" s="481">
        <v>170316</v>
      </c>
      <c r="BK114" s="481">
        <v>10630</v>
      </c>
      <c r="BL114" s="481">
        <v>238983</v>
      </c>
      <c r="BM114" s="481">
        <v>16024</v>
      </c>
      <c r="BN114" s="532">
        <f t="shared" si="59"/>
        <v>435953</v>
      </c>
      <c r="BO114" s="481">
        <f t="shared" si="60"/>
        <v>223235</v>
      </c>
      <c r="BP114" s="481"/>
      <c r="BQ114" s="481">
        <v>0</v>
      </c>
      <c r="BR114" s="481">
        <v>0</v>
      </c>
      <c r="BS114" s="481">
        <v>0</v>
      </c>
      <c r="BT114" s="532">
        <f t="shared" si="61"/>
        <v>223235</v>
      </c>
      <c r="BU114" s="481"/>
      <c r="BV114" s="481">
        <v>-89382</v>
      </c>
      <c r="BW114" s="532">
        <f t="shared" si="62"/>
        <v>-89382</v>
      </c>
      <c r="BX114" s="532">
        <v>0</v>
      </c>
      <c r="BY114" s="532">
        <f t="shared" si="63"/>
        <v>4664360.8</v>
      </c>
      <c r="BZ114" s="543">
        <f t="shared" si="64"/>
        <v>9328721.6</v>
      </c>
      <c r="CA114" s="441">
        <f t="shared" si="65"/>
        <v>2893596.8</v>
      </c>
      <c r="CC114" s="316">
        <v>-0.20000000018626451</v>
      </c>
      <c r="DW114" s="483"/>
      <c r="DX114" s="442">
        <f>'Table 2'!AS107</f>
      </c>
      <c r="DY114" s="442">
        <f>'Table 2'!AT107</f>
      </c>
      <c r="DZ114" s="442">
        <f>'Table 2'!AU107</f>
      </c>
      <c r="EA114" s="442">
        <f>'Table 2'!AV107</f>
      </c>
      <c r="EB114" s="442">
        <f>'Table 2'!AW107</f>
      </c>
      <c r="EC114" s="442">
        <f>'Table 2'!AX107</f>
      </c>
      <c r="ED114" s="442">
        <f>'Table 2'!AY107</f>
      </c>
      <c r="EE114" s="442">
        <f>'Table 2'!AZ107</f>
      </c>
      <c r="EF114" s="442">
        <f>'Table 2'!BA107</f>
      </c>
      <c r="EG114" s="442">
        <f>'Table 2'!BB107</f>
      </c>
      <c r="EH114" s="442">
        <f>'Table 2'!BC107</f>
      </c>
      <c r="EI114" s="442">
        <f>'Table 2'!BD107</f>
      </c>
      <c r="EJ114" s="442">
        <f>'Table 2'!BE107</f>
      </c>
      <c r="EK114" s="442">
        <f>'Table 2'!BF107</f>
      </c>
      <c r="EL114" s="442">
        <f>'Table 2'!BG107</f>
      </c>
      <c r="EM114" s="442">
        <f>'Table 2'!BH107</f>
      </c>
      <c r="EN114" s="442">
        <f>'Table 2'!BT107</f>
      </c>
      <c r="EO114" s="434">
        <f t="shared" si="66"/>
        <v>0</v>
      </c>
    </row>
    <row r="115" spans="2:145" ht="12.75">
      <c r="B115" s="480">
        <v>10</v>
      </c>
      <c r="C115" s="531" t="s">
        <v>593</v>
      </c>
      <c r="D115" s="531">
        <v>4034</v>
      </c>
      <c r="E115" s="522"/>
      <c r="F115" s="522"/>
      <c r="G115" s="522"/>
      <c r="H115" s="522"/>
      <c r="I115" s="522"/>
      <c r="J115" s="522"/>
      <c r="K115" s="522"/>
      <c r="L115" s="522"/>
      <c r="M115" s="586"/>
      <c r="N115" s="481"/>
      <c r="O115" s="481"/>
      <c r="P115" s="481"/>
      <c r="Q115" s="481"/>
      <c r="R115" s="481"/>
      <c r="S115" s="481">
        <v>218</v>
      </c>
      <c r="T115" s="481">
        <v>217</v>
      </c>
      <c r="U115" s="481">
        <v>210</v>
      </c>
      <c r="V115" s="481"/>
      <c r="W115" s="481">
        <v>204</v>
      </c>
      <c r="X115" s="587">
        <v>183</v>
      </c>
      <c r="Y115" s="587"/>
      <c r="Z115" s="522"/>
      <c r="AA115" s="588">
        <v>70</v>
      </c>
      <c r="AB115" s="481">
        <f t="shared" si="48"/>
        <v>1102</v>
      </c>
      <c r="AC115" s="481">
        <f t="shared" si="49"/>
        <v>3107800.14</v>
      </c>
      <c r="AD115" s="481"/>
      <c r="AE115" s="481"/>
      <c r="AF115" s="481"/>
      <c r="AG115" s="481"/>
      <c r="AH115" s="481"/>
      <c r="AI115" s="532"/>
      <c r="AJ115" s="532">
        <f t="shared" si="50"/>
        <v>0</v>
      </c>
      <c r="AK115" s="532">
        <v>232966</v>
      </c>
      <c r="AL115" s="532">
        <f t="shared" si="51"/>
        <v>232966</v>
      </c>
      <c r="AM115" s="481"/>
      <c r="AN115" s="481"/>
      <c r="AO115" s="542">
        <f t="shared" si="52"/>
        <v>0</v>
      </c>
      <c r="AP115" s="481">
        <v>82684</v>
      </c>
      <c r="AQ115" s="481">
        <v>138072</v>
      </c>
      <c r="AR115" s="481">
        <v>116502</v>
      </c>
      <c r="AS115" s="481"/>
      <c r="AT115" s="481">
        <v>0</v>
      </c>
      <c r="AU115" s="532">
        <f t="shared" si="53"/>
        <v>337258</v>
      </c>
      <c r="AV115" s="481">
        <v>0</v>
      </c>
      <c r="AW115" s="481">
        <f t="shared" si="54"/>
        <v>9112</v>
      </c>
      <c r="AX115" s="532">
        <f t="shared" si="55"/>
        <v>9112</v>
      </c>
      <c r="AY115" s="481">
        <v>99458</v>
      </c>
      <c r="AZ115" s="481">
        <v>87151</v>
      </c>
      <c r="BA115" s="481">
        <v>76252</v>
      </c>
      <c r="BB115" s="481">
        <f t="shared" si="56"/>
        <v>17803</v>
      </c>
      <c r="BC115" s="532">
        <f t="shared" si="57"/>
        <v>280664</v>
      </c>
      <c r="BD115" s="481"/>
      <c r="BE115" s="481">
        <v>79530</v>
      </c>
      <c r="BF115" s="481">
        <v>6833</v>
      </c>
      <c r="BG115" s="481">
        <v>63513</v>
      </c>
      <c r="BH115" s="481">
        <v>58638</v>
      </c>
      <c r="BI115" s="532">
        <f t="shared" si="58"/>
        <v>208514</v>
      </c>
      <c r="BJ115" s="481">
        <v>156439</v>
      </c>
      <c r="BK115" s="481">
        <v>7222</v>
      </c>
      <c r="BL115" s="481">
        <v>187011</v>
      </c>
      <c r="BM115" s="481">
        <v>16276</v>
      </c>
      <c r="BN115" s="532">
        <f t="shared" si="59"/>
        <v>366948</v>
      </c>
      <c r="BO115" s="481">
        <f t="shared" si="60"/>
        <v>223235</v>
      </c>
      <c r="BP115" s="481"/>
      <c r="BQ115" s="481">
        <v>0</v>
      </c>
      <c r="BR115" s="481">
        <v>0</v>
      </c>
      <c r="BS115" s="481">
        <v>0</v>
      </c>
      <c r="BT115" s="532">
        <f t="shared" si="61"/>
        <v>223235</v>
      </c>
      <c r="BU115" s="481"/>
      <c r="BV115" s="481">
        <v>-39199</v>
      </c>
      <c r="BW115" s="532">
        <f t="shared" si="62"/>
        <v>-39199</v>
      </c>
      <c r="BX115" s="532">
        <v>0</v>
      </c>
      <c r="BY115" s="532">
        <f t="shared" si="63"/>
        <v>4727298.140000001</v>
      </c>
      <c r="BZ115" s="543">
        <f t="shared" si="64"/>
        <v>9454596.280000001</v>
      </c>
      <c r="CA115" s="441">
        <f t="shared" si="65"/>
        <v>3107800.14</v>
      </c>
      <c r="CC115" s="316">
        <v>0.14000000059604645</v>
      </c>
      <c r="DW115" s="483"/>
      <c r="DX115" s="442">
        <f>'Table 2'!AS108</f>
      </c>
      <c r="DY115" s="442">
        <f>'Table 2'!AT108</f>
      </c>
      <c r="DZ115" s="442">
        <f>'Table 2'!AU108</f>
      </c>
      <c r="EA115" s="442">
        <f>'Table 2'!AV108</f>
      </c>
      <c r="EB115" s="442">
        <f>'Table 2'!AW108</f>
      </c>
      <c r="EC115" s="442">
        <f>'Table 2'!AX108</f>
      </c>
      <c r="ED115" s="442">
        <f>'Table 2'!AY108</f>
      </c>
      <c r="EE115" s="442">
        <f>'Table 2'!AZ108</f>
      </c>
      <c r="EF115" s="442">
        <f>'Table 2'!BA108</f>
      </c>
      <c r="EG115" s="442">
        <f>'Table 2'!BB108</f>
      </c>
      <c r="EH115" s="442">
        <f>'Table 2'!BC108</f>
      </c>
      <c r="EI115" s="442">
        <f>'Table 2'!BD108</f>
      </c>
      <c r="EJ115" s="442">
        <f>'Table 2'!BE108</f>
      </c>
      <c r="EK115" s="442">
        <f>'Table 2'!BF108</f>
      </c>
      <c r="EL115" s="442">
        <f>'Table 2'!BG108</f>
      </c>
      <c r="EM115" s="442">
        <f>'Table 2'!BH108</f>
      </c>
      <c r="EN115" s="442">
        <f>'Table 2'!BT108</f>
      </c>
      <c r="EO115" s="434">
        <f t="shared" si="66"/>
        <v>0</v>
      </c>
    </row>
    <row r="116" spans="2:145" ht="12.75">
      <c r="B116" s="480">
        <v>11</v>
      </c>
      <c r="C116" s="531" t="s">
        <v>594</v>
      </c>
      <c r="D116" s="531">
        <v>4650</v>
      </c>
      <c r="E116" s="522"/>
      <c r="F116" s="522"/>
      <c r="G116" s="522"/>
      <c r="H116" s="522"/>
      <c r="I116" s="522"/>
      <c r="J116" s="522"/>
      <c r="K116" s="522"/>
      <c r="L116" s="522"/>
      <c r="M116" s="586"/>
      <c r="N116" s="481"/>
      <c r="O116" s="481"/>
      <c r="P116" s="481"/>
      <c r="Q116" s="481"/>
      <c r="R116" s="481"/>
      <c r="S116" s="481">
        <v>205</v>
      </c>
      <c r="T116" s="481">
        <v>204</v>
      </c>
      <c r="U116" s="481">
        <v>205</v>
      </c>
      <c r="V116" s="481"/>
      <c r="W116" s="481">
        <v>203</v>
      </c>
      <c r="X116" s="587">
        <v>206</v>
      </c>
      <c r="Y116" s="587"/>
      <c r="Z116" s="522"/>
      <c r="AA116" s="588">
        <v>250</v>
      </c>
      <c r="AB116" s="481">
        <f t="shared" si="48"/>
        <v>1273</v>
      </c>
      <c r="AC116" s="481">
        <f t="shared" si="49"/>
        <v>3097482.0699999994</v>
      </c>
      <c r="AD116" s="481"/>
      <c r="AE116" s="481"/>
      <c r="AF116" s="481"/>
      <c r="AG116" s="481"/>
      <c r="AH116" s="481"/>
      <c r="AI116" s="532"/>
      <c r="AJ116" s="532">
        <f t="shared" si="50"/>
        <v>0</v>
      </c>
      <c r="AK116" s="532">
        <v>1205135</v>
      </c>
      <c r="AL116" s="532">
        <f t="shared" si="51"/>
        <v>1205135</v>
      </c>
      <c r="AM116" s="481"/>
      <c r="AN116" s="481"/>
      <c r="AO116" s="542">
        <f t="shared" si="52"/>
        <v>0</v>
      </c>
      <c r="AP116" s="481">
        <v>20452</v>
      </c>
      <c r="AQ116" s="481">
        <v>31002</v>
      </c>
      <c r="AR116" s="481">
        <v>26158</v>
      </c>
      <c r="AS116" s="481"/>
      <c r="AT116" s="481">
        <v>0</v>
      </c>
      <c r="AU116" s="532">
        <f t="shared" si="53"/>
        <v>77612</v>
      </c>
      <c r="AV116" s="481">
        <v>0</v>
      </c>
      <c r="AW116" s="481">
        <f t="shared" si="54"/>
        <v>9112</v>
      </c>
      <c r="AX116" s="532">
        <f t="shared" si="55"/>
        <v>9112</v>
      </c>
      <c r="AY116" s="481">
        <v>22332</v>
      </c>
      <c r="AZ116" s="481">
        <v>8469</v>
      </c>
      <c r="BA116" s="481">
        <v>18892</v>
      </c>
      <c r="BB116" s="481">
        <f t="shared" si="56"/>
        <v>17803</v>
      </c>
      <c r="BC116" s="532">
        <f t="shared" si="57"/>
        <v>67496</v>
      </c>
      <c r="BD116" s="481"/>
      <c r="BE116" s="481">
        <v>10828</v>
      </c>
      <c r="BF116" s="481">
        <v>0</v>
      </c>
      <c r="BG116" s="481">
        <v>6172</v>
      </c>
      <c r="BH116" s="481">
        <v>14528</v>
      </c>
      <c r="BI116" s="532">
        <f t="shared" si="58"/>
        <v>31528</v>
      </c>
      <c r="BJ116" s="481">
        <v>21094</v>
      </c>
      <c r="BK116" s="481">
        <v>7313</v>
      </c>
      <c r="BL116" s="481">
        <v>182001</v>
      </c>
      <c r="BM116" s="481">
        <v>10475</v>
      </c>
      <c r="BN116" s="532">
        <f t="shared" si="59"/>
        <v>220883</v>
      </c>
      <c r="BO116" s="481">
        <f t="shared" si="60"/>
        <v>223235</v>
      </c>
      <c r="BP116" s="481"/>
      <c r="BQ116" s="481">
        <v>0</v>
      </c>
      <c r="BR116" s="481">
        <v>34044</v>
      </c>
      <c r="BS116" s="481">
        <v>0</v>
      </c>
      <c r="BT116" s="532">
        <f t="shared" si="61"/>
        <v>257279</v>
      </c>
      <c r="BU116" s="481"/>
      <c r="BV116" s="481">
        <v>-92505</v>
      </c>
      <c r="BW116" s="532">
        <f t="shared" si="62"/>
        <v>-92505</v>
      </c>
      <c r="BX116" s="532">
        <v>0</v>
      </c>
      <c r="BY116" s="532">
        <f t="shared" si="63"/>
        <v>4874022.069999999</v>
      </c>
      <c r="BZ116" s="543">
        <f t="shared" si="64"/>
        <v>9748044.139999999</v>
      </c>
      <c r="CA116" s="441">
        <f t="shared" si="65"/>
        <v>3097482.0699999994</v>
      </c>
      <c r="CC116" s="316">
        <v>0.07000000029802322</v>
      </c>
      <c r="DW116" s="483"/>
      <c r="DX116" s="442">
        <f>'Table 2'!AS109</f>
      </c>
      <c r="DY116" s="442">
        <f>'Table 2'!AT109</f>
      </c>
      <c r="DZ116" s="442">
        <f>'Table 2'!AU109</f>
      </c>
      <c r="EA116" s="442">
        <f>'Table 2'!AV109</f>
      </c>
      <c r="EB116" s="442">
        <f>'Table 2'!AW109</f>
      </c>
      <c r="EC116" s="442">
        <f>'Table 2'!AX109</f>
      </c>
      <c r="ED116" s="442">
        <f>'Table 2'!AY109</f>
      </c>
      <c r="EE116" s="442">
        <f>'Table 2'!AZ109</f>
      </c>
      <c r="EF116" s="442">
        <f>'Table 2'!BA109</f>
      </c>
      <c r="EG116" s="442">
        <f>'Table 2'!BB109</f>
      </c>
      <c r="EH116" s="442">
        <f>'Table 2'!BC109</f>
      </c>
      <c r="EI116" s="442">
        <f>'Table 2'!BD109</f>
      </c>
      <c r="EJ116" s="442">
        <f>'Table 2'!BE109</f>
      </c>
      <c r="EK116" s="442">
        <f>'Table 2'!BF109</f>
      </c>
      <c r="EL116" s="442">
        <f>'Table 2'!BG109</f>
      </c>
      <c r="EM116" s="442">
        <f>'Table 2'!BH109</f>
      </c>
      <c r="EN116" s="442">
        <f>'Table 2'!BT109</f>
      </c>
      <c r="EO116" s="434">
        <f t="shared" si="66"/>
        <v>0</v>
      </c>
    </row>
    <row r="117" spans="2:145" ht="12.75">
      <c r="B117" s="480">
        <v>2</v>
      </c>
      <c r="C117" s="531" t="s">
        <v>595</v>
      </c>
      <c r="D117" s="531">
        <v>4660</v>
      </c>
      <c r="E117" s="522"/>
      <c r="F117" s="522"/>
      <c r="G117" s="522"/>
      <c r="H117" s="522"/>
      <c r="I117" s="522"/>
      <c r="J117" s="522"/>
      <c r="K117" s="522"/>
      <c r="L117" s="522"/>
      <c r="M117" s="586"/>
      <c r="N117" s="481"/>
      <c r="O117" s="481"/>
      <c r="P117" s="481"/>
      <c r="Q117" s="481"/>
      <c r="R117" s="481"/>
      <c r="S117" s="481">
        <v>170</v>
      </c>
      <c r="T117" s="481">
        <v>186</v>
      </c>
      <c r="U117" s="481">
        <v>163</v>
      </c>
      <c r="V117" s="481"/>
      <c r="W117" s="481">
        <v>180</v>
      </c>
      <c r="X117" s="587">
        <v>200</v>
      </c>
      <c r="Y117" s="587"/>
      <c r="Z117" s="522"/>
      <c r="AA117" s="588">
        <v>140</v>
      </c>
      <c r="AB117" s="481">
        <f t="shared" si="48"/>
        <v>1039</v>
      </c>
      <c r="AC117" s="481">
        <f t="shared" si="49"/>
        <v>2735401.69</v>
      </c>
      <c r="AD117" s="481"/>
      <c r="AE117" s="481"/>
      <c r="AF117" s="481"/>
      <c r="AG117" s="481"/>
      <c r="AH117" s="481"/>
      <c r="AI117" s="532"/>
      <c r="AJ117" s="532">
        <f t="shared" si="50"/>
        <v>0</v>
      </c>
      <c r="AK117" s="532">
        <v>565151</v>
      </c>
      <c r="AL117" s="532">
        <f t="shared" si="51"/>
        <v>565151</v>
      </c>
      <c r="AM117" s="481"/>
      <c r="AN117" s="481"/>
      <c r="AO117" s="542">
        <f t="shared" si="52"/>
        <v>0</v>
      </c>
      <c r="AP117" s="481">
        <v>55051</v>
      </c>
      <c r="AQ117" s="481">
        <v>93485</v>
      </c>
      <c r="AR117" s="481">
        <v>78880</v>
      </c>
      <c r="AS117" s="481"/>
      <c r="AT117" s="481">
        <v>0</v>
      </c>
      <c r="AU117" s="532">
        <f t="shared" si="53"/>
        <v>227416</v>
      </c>
      <c r="AV117" s="481">
        <v>0</v>
      </c>
      <c r="AW117" s="481">
        <f t="shared" si="54"/>
        <v>9112</v>
      </c>
      <c r="AX117" s="532">
        <f t="shared" si="55"/>
        <v>9112</v>
      </c>
      <c r="AY117" s="481">
        <v>67340</v>
      </c>
      <c r="AZ117" s="481">
        <v>72398</v>
      </c>
      <c r="BA117" s="481">
        <v>69796</v>
      </c>
      <c r="BB117" s="481">
        <f t="shared" si="56"/>
        <v>17803</v>
      </c>
      <c r="BC117" s="532">
        <f t="shared" si="57"/>
        <v>227337</v>
      </c>
      <c r="BD117" s="481"/>
      <c r="BE117" s="481">
        <v>85504</v>
      </c>
      <c r="BF117" s="481">
        <v>6833</v>
      </c>
      <c r="BG117" s="481">
        <v>52762</v>
      </c>
      <c r="BH117" s="481">
        <v>53673</v>
      </c>
      <c r="BI117" s="532">
        <f t="shared" si="58"/>
        <v>198772</v>
      </c>
      <c r="BJ117" s="481">
        <v>34316</v>
      </c>
      <c r="BK117" s="481">
        <v>10519</v>
      </c>
      <c r="BL117" s="481">
        <v>232085</v>
      </c>
      <c r="BM117" s="481">
        <v>13162</v>
      </c>
      <c r="BN117" s="532">
        <f t="shared" si="59"/>
        <v>290082</v>
      </c>
      <c r="BO117" s="481">
        <f t="shared" si="60"/>
        <v>223235</v>
      </c>
      <c r="BP117" s="481"/>
      <c r="BQ117" s="481">
        <v>0</v>
      </c>
      <c r="BR117" s="481">
        <v>43412</v>
      </c>
      <c r="BS117" s="481">
        <v>0</v>
      </c>
      <c r="BT117" s="532">
        <f t="shared" si="61"/>
        <v>266647</v>
      </c>
      <c r="BU117" s="481"/>
      <c r="BV117" s="481">
        <v>-72794</v>
      </c>
      <c r="BW117" s="532">
        <f t="shared" si="62"/>
        <v>-72794</v>
      </c>
      <c r="BX117" s="532">
        <v>0</v>
      </c>
      <c r="BY117" s="532">
        <f t="shared" si="63"/>
        <v>4447124.6899999995</v>
      </c>
      <c r="BZ117" s="543">
        <f t="shared" si="64"/>
        <v>8894249.379999999</v>
      </c>
      <c r="CA117" s="441">
        <f t="shared" si="65"/>
        <v>2735401.69</v>
      </c>
      <c r="CC117" s="316">
        <v>0.12000000104308128</v>
      </c>
      <c r="DW117" s="483"/>
      <c r="DX117" s="442">
        <f>'Table 2'!AS110</f>
      </c>
      <c r="DY117" s="442">
        <f>'Table 2'!AT110</f>
      </c>
      <c r="DZ117" s="442">
        <f>'Table 2'!AU110</f>
      </c>
      <c r="EA117" s="442">
        <f>'Table 2'!AV110</f>
      </c>
      <c r="EB117" s="442">
        <f>'Table 2'!AW110</f>
      </c>
      <c r="EC117" s="442">
        <f>'Table 2'!AX110</f>
      </c>
      <c r="ED117" s="442">
        <f>'Table 2'!AY110</f>
      </c>
      <c r="EE117" s="442">
        <f>'Table 2'!AZ110</f>
      </c>
      <c r="EF117" s="442">
        <f>'Table 2'!BA110</f>
      </c>
      <c r="EG117" s="442">
        <f>'Table 2'!BB110</f>
      </c>
      <c r="EH117" s="442">
        <f>'Table 2'!BC110</f>
      </c>
      <c r="EI117" s="442">
        <f>'Table 2'!BD110</f>
      </c>
      <c r="EJ117" s="442">
        <f>'Table 2'!BE110</f>
      </c>
      <c r="EK117" s="442">
        <f>'Table 2'!BF110</f>
      </c>
      <c r="EL117" s="442">
        <f>'Table 2'!BG110</f>
      </c>
      <c r="EM117" s="442">
        <f>'Table 2'!BH110</f>
      </c>
      <c r="EN117" s="442">
        <f>'Table 2'!BT110</f>
      </c>
      <c r="EO117" s="434">
        <f t="shared" si="66"/>
        <v>0</v>
      </c>
    </row>
    <row r="118" spans="2:145" ht="13.5" thickBot="1">
      <c r="B118" s="563"/>
      <c r="C118" s="563"/>
      <c r="D118" s="563"/>
      <c r="E118" s="565"/>
      <c r="F118" s="565"/>
      <c r="G118" s="565"/>
      <c r="H118" s="565"/>
      <c r="I118" s="565"/>
      <c r="J118" s="565"/>
      <c r="K118" s="565"/>
      <c r="L118" s="565"/>
      <c r="M118" s="565"/>
      <c r="N118" s="564"/>
      <c r="O118" s="564"/>
      <c r="P118" s="564"/>
      <c r="Q118" s="564"/>
      <c r="R118" s="564"/>
      <c r="S118" s="564"/>
      <c r="T118" s="564"/>
      <c r="U118" s="564"/>
      <c r="V118" s="564"/>
      <c r="W118" s="564"/>
      <c r="X118" s="564"/>
      <c r="Y118" s="564"/>
      <c r="Z118" s="564"/>
      <c r="AA118" s="564"/>
      <c r="AB118" s="564"/>
      <c r="AC118" s="564"/>
      <c r="AD118" s="564"/>
      <c r="AE118" s="564"/>
      <c r="AF118" s="564"/>
      <c r="AG118" s="564"/>
      <c r="AH118" s="564"/>
      <c r="AI118" s="559"/>
      <c r="AJ118" s="559"/>
      <c r="AK118" s="559"/>
      <c r="AL118" s="559"/>
      <c r="AM118" s="564"/>
      <c r="AN118" s="564"/>
      <c r="AO118" s="564"/>
      <c r="AP118" s="564"/>
      <c r="AQ118" s="564"/>
      <c r="AR118" s="564"/>
      <c r="AS118" s="564"/>
      <c r="AT118" s="564"/>
      <c r="AU118" s="564"/>
      <c r="AV118" s="564"/>
      <c r="AW118" s="564"/>
      <c r="AX118" s="564"/>
      <c r="AY118" s="564"/>
      <c r="AZ118" s="564"/>
      <c r="BA118" s="564"/>
      <c r="BB118" s="564"/>
      <c r="BC118" s="564"/>
      <c r="BD118" s="564"/>
      <c r="BE118" s="564"/>
      <c r="BF118" s="564"/>
      <c r="BG118" s="564"/>
      <c r="BH118" s="564"/>
      <c r="BI118" s="564"/>
      <c r="BJ118" s="564"/>
      <c r="BK118" s="564"/>
      <c r="BL118" s="564"/>
      <c r="BM118" s="564"/>
      <c r="BN118" s="564"/>
      <c r="BO118" s="564"/>
      <c r="BP118" s="564"/>
      <c r="BQ118" s="564"/>
      <c r="BR118" s="564"/>
      <c r="BS118" s="564"/>
      <c r="BT118" s="564"/>
      <c r="BU118" s="564"/>
      <c r="BV118" s="564"/>
      <c r="BW118" s="564"/>
      <c r="BX118" s="564"/>
      <c r="BY118" s="576"/>
      <c r="BZ118" s="66"/>
      <c r="CA118" s="66"/>
      <c r="CB118" s="568"/>
      <c r="DW118" s="432"/>
      <c r="DX118" s="432"/>
      <c r="DY118" s="432"/>
      <c r="DZ118" s="432"/>
      <c r="EA118" s="432"/>
      <c r="EB118" s="432"/>
      <c r="EC118" s="432"/>
      <c r="ED118" s="432"/>
      <c r="EE118" s="432"/>
      <c r="EF118" s="432"/>
      <c r="EG118" s="432"/>
      <c r="EH118" s="432"/>
      <c r="EI118" s="432"/>
      <c r="EJ118" s="432"/>
      <c r="EK118" s="432"/>
      <c r="EL118" s="432"/>
      <c r="EM118" s="432"/>
      <c r="EN118" s="432"/>
      <c r="EO118" s="432"/>
    </row>
    <row r="119" spans="2:145" ht="14.25" thickBot="1" thickTop="1">
      <c r="B119" s="563"/>
      <c r="C119" s="1166" t="s">
        <v>596</v>
      </c>
      <c r="D119" s="1166"/>
      <c r="E119" s="589">
        <f aca="true" t="shared" si="67" ref="E119:AJ119">SUM(E106:E118)</f>
        <v>0</v>
      </c>
      <c r="F119" s="589">
        <f t="shared" si="67"/>
        <v>0</v>
      </c>
      <c r="G119" s="589">
        <f t="shared" si="67"/>
        <v>0</v>
      </c>
      <c r="H119" s="589">
        <f t="shared" si="67"/>
        <v>0</v>
      </c>
      <c r="I119" s="589">
        <f t="shared" si="67"/>
        <v>0</v>
      </c>
      <c r="J119" s="589">
        <f t="shared" si="67"/>
        <v>0</v>
      </c>
      <c r="K119" s="589">
        <f t="shared" si="67"/>
        <v>0</v>
      </c>
      <c r="L119" s="589">
        <f t="shared" si="67"/>
        <v>0</v>
      </c>
      <c r="M119" s="589">
        <f t="shared" si="67"/>
        <v>0</v>
      </c>
      <c r="N119" s="485">
        <f t="shared" si="67"/>
        <v>0</v>
      </c>
      <c r="O119" s="485">
        <f t="shared" si="67"/>
        <v>0</v>
      </c>
      <c r="P119" s="485">
        <f t="shared" si="67"/>
        <v>0</v>
      </c>
      <c r="Q119" s="485">
        <f t="shared" si="67"/>
        <v>0</v>
      </c>
      <c r="R119" s="485">
        <f t="shared" si="67"/>
        <v>0</v>
      </c>
      <c r="S119" s="485">
        <f t="shared" si="67"/>
        <v>2648</v>
      </c>
      <c r="T119" s="485">
        <f t="shared" si="67"/>
        <v>2655</v>
      </c>
      <c r="U119" s="485">
        <f t="shared" si="67"/>
        <v>2660</v>
      </c>
      <c r="V119" s="485">
        <f t="shared" si="67"/>
        <v>0</v>
      </c>
      <c r="W119" s="485">
        <f t="shared" si="67"/>
        <v>2623</v>
      </c>
      <c r="X119" s="485">
        <f t="shared" si="67"/>
        <v>2673</v>
      </c>
      <c r="Y119" s="485">
        <f t="shared" si="67"/>
        <v>0</v>
      </c>
      <c r="Z119" s="485">
        <f t="shared" si="67"/>
        <v>0</v>
      </c>
      <c r="AA119" s="485">
        <f t="shared" si="67"/>
        <v>988</v>
      </c>
      <c r="AB119" s="485">
        <f t="shared" si="67"/>
        <v>14247</v>
      </c>
      <c r="AC119" s="485">
        <f t="shared" si="67"/>
        <v>40144774.89</v>
      </c>
      <c r="AD119" s="485">
        <f t="shared" si="67"/>
        <v>0</v>
      </c>
      <c r="AE119" s="485">
        <f t="shared" si="67"/>
        <v>0</v>
      </c>
      <c r="AF119" s="485">
        <f t="shared" si="67"/>
        <v>0</v>
      </c>
      <c r="AG119" s="485">
        <f t="shared" si="67"/>
        <v>0</v>
      </c>
      <c r="AH119" s="485">
        <f t="shared" si="67"/>
        <v>0</v>
      </c>
      <c r="AI119" s="549">
        <f t="shared" si="67"/>
        <v>0</v>
      </c>
      <c r="AJ119" s="549">
        <f t="shared" si="67"/>
        <v>0</v>
      </c>
      <c r="AK119" s="549">
        <f aca="true" t="shared" si="68" ref="AK119:BY119">SUM(AK106:AK118)</f>
        <v>5029418</v>
      </c>
      <c r="AL119" s="549">
        <f t="shared" si="68"/>
        <v>5029418</v>
      </c>
      <c r="AM119" s="485">
        <f t="shared" si="68"/>
        <v>0</v>
      </c>
      <c r="AN119" s="485">
        <f t="shared" si="68"/>
        <v>0</v>
      </c>
      <c r="AO119" s="577">
        <f t="shared" si="68"/>
        <v>0</v>
      </c>
      <c r="AP119" s="485">
        <f t="shared" si="68"/>
        <v>675524</v>
      </c>
      <c r="AQ119" s="485">
        <f t="shared" si="68"/>
        <v>802434</v>
      </c>
      <c r="AR119" s="485">
        <f t="shared" si="68"/>
        <v>677067</v>
      </c>
      <c r="AS119" s="485">
        <f t="shared" si="68"/>
        <v>0</v>
      </c>
      <c r="AT119" s="485">
        <f t="shared" si="68"/>
        <v>1021343</v>
      </c>
      <c r="AU119" s="485">
        <f t="shared" si="68"/>
        <v>3176368</v>
      </c>
      <c r="AV119" s="485">
        <f t="shared" si="68"/>
        <v>56124</v>
      </c>
      <c r="AW119" s="485">
        <f t="shared" si="68"/>
        <v>109344</v>
      </c>
      <c r="AX119" s="485">
        <f t="shared" si="68"/>
        <v>165468</v>
      </c>
      <c r="AY119" s="485">
        <f t="shared" si="68"/>
        <v>578022</v>
      </c>
      <c r="AZ119" s="485">
        <f>SUM(AZ106:AZ118)</f>
        <v>383027</v>
      </c>
      <c r="BA119" s="485">
        <f>SUM(BA106:BA118)</f>
        <v>422826</v>
      </c>
      <c r="BB119" s="485">
        <f t="shared" si="68"/>
        <v>213636</v>
      </c>
      <c r="BC119" s="485">
        <f t="shared" si="68"/>
        <v>1597511</v>
      </c>
      <c r="BD119" s="485">
        <f t="shared" si="68"/>
        <v>0</v>
      </c>
      <c r="BE119" s="485">
        <f>SUM(BE106:BE118)</f>
        <v>419306</v>
      </c>
      <c r="BF119" s="485">
        <f>SUM(BF106:BF118)</f>
        <v>13666</v>
      </c>
      <c r="BG119" s="485">
        <f>SUM(BG106:BG118)</f>
        <v>279139</v>
      </c>
      <c r="BH119" s="485">
        <f>SUM(BH106:BH118)</f>
        <v>325153</v>
      </c>
      <c r="BI119" s="485">
        <f t="shared" si="68"/>
        <v>1037264</v>
      </c>
      <c r="BJ119" s="485">
        <f t="shared" si="68"/>
        <v>1085384</v>
      </c>
      <c r="BK119" s="485">
        <f>SUM(BK106:BK118)</f>
        <v>94484</v>
      </c>
      <c r="BL119" s="485">
        <f>SUM(BL106:BL118)</f>
        <v>2412926</v>
      </c>
      <c r="BM119" s="485">
        <f>SUM(BM106:BM118)</f>
        <v>172155</v>
      </c>
      <c r="BN119" s="485">
        <f t="shared" si="68"/>
        <v>3764949</v>
      </c>
      <c r="BO119" s="485">
        <f t="shared" si="68"/>
        <v>2678820</v>
      </c>
      <c r="BP119" s="485">
        <f>SUM(BP106:BP118)</f>
        <v>0</v>
      </c>
      <c r="BQ119" s="485">
        <f>SUM(BQ106:BQ118)</f>
        <v>109936</v>
      </c>
      <c r="BR119" s="485">
        <f>SUM(BR106:BR118)</f>
        <v>371661</v>
      </c>
      <c r="BS119" s="485">
        <f>SUM(BS106:BS118)</f>
        <v>0</v>
      </c>
      <c r="BT119" s="485">
        <f t="shared" si="68"/>
        <v>3160417</v>
      </c>
      <c r="BU119" s="485">
        <f t="shared" si="68"/>
        <v>0</v>
      </c>
      <c r="BV119" s="485">
        <f t="shared" si="68"/>
        <v>-470366</v>
      </c>
      <c r="BW119" s="485">
        <f t="shared" si="68"/>
        <v>-470366</v>
      </c>
      <c r="BX119" s="485">
        <f t="shared" si="68"/>
        <v>0</v>
      </c>
      <c r="BY119" s="485">
        <f t="shared" si="68"/>
        <v>57605803.88999999</v>
      </c>
      <c r="BZ119" s="470"/>
      <c r="CA119" s="590"/>
      <c r="CB119" s="591"/>
      <c r="CC119" s="485">
        <f>SUM(CC106:CC118)</f>
        <v>-1.1099999975413084</v>
      </c>
      <c r="DW119" s="432" t="str">
        <f>C119</f>
        <v>Secondary Total (excluding middle deemed)</v>
      </c>
      <c r="DX119" s="432"/>
      <c r="DY119" s="432"/>
      <c r="DZ119" s="432"/>
      <c r="EA119" s="570" t="s">
        <v>581</v>
      </c>
      <c r="EB119" s="432"/>
      <c r="EC119" s="432"/>
      <c r="ED119" s="432"/>
      <c r="EE119" s="432"/>
      <c r="EF119" s="432"/>
      <c r="EG119" s="432"/>
      <c r="EH119" s="432"/>
      <c r="EI119" s="432"/>
      <c r="EJ119" s="432"/>
      <c r="EK119" s="432"/>
      <c r="EL119" s="432"/>
      <c r="EM119" s="432"/>
      <c r="EN119" s="432"/>
      <c r="EO119" s="432"/>
    </row>
    <row r="120" spans="3:127" ht="13.5" thickTop="1">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78">
        <v>-1.1099999994039536</v>
      </c>
      <c r="AD120" s="568"/>
      <c r="AE120" s="568"/>
      <c r="AF120" s="568"/>
      <c r="AG120" s="568"/>
      <c r="AH120" s="568"/>
      <c r="AI120" s="592"/>
      <c r="AJ120" s="592"/>
      <c r="AK120" s="592"/>
      <c r="AL120" s="592"/>
      <c r="AM120" s="568"/>
      <c r="AN120" s="568"/>
      <c r="AO120" s="568"/>
      <c r="AP120" s="568"/>
      <c r="AQ120" s="568"/>
      <c r="AR120" s="568"/>
      <c r="AS120" s="568"/>
      <c r="AT120" s="568"/>
      <c r="AU120" s="568"/>
      <c r="AV120" s="568"/>
      <c r="AW120" s="568"/>
      <c r="AX120" s="568"/>
      <c r="AY120" s="568"/>
      <c r="AZ120" s="568"/>
      <c r="BA120" s="568"/>
      <c r="BB120" s="568"/>
      <c r="BC120" s="568"/>
      <c r="BD120" s="568"/>
      <c r="BE120" s="568"/>
      <c r="BF120" s="568"/>
      <c r="BG120" s="568"/>
      <c r="BH120" s="568"/>
      <c r="BI120" s="568"/>
      <c r="BJ120" s="568"/>
      <c r="BK120" s="568"/>
      <c r="BL120" s="568"/>
      <c r="BM120" s="568"/>
      <c r="BN120" s="568"/>
      <c r="BO120" s="568"/>
      <c r="BP120" s="568"/>
      <c r="BQ120" s="568"/>
      <c r="BR120" s="568"/>
      <c r="BS120" s="568"/>
      <c r="BT120" s="568"/>
      <c r="BU120" s="568"/>
      <c r="BV120" s="568"/>
      <c r="BW120" s="568"/>
      <c r="BX120" s="568"/>
      <c r="BY120" s="564"/>
      <c r="BZ120" s="593"/>
      <c r="CA120" s="593"/>
      <c r="CB120" s="568"/>
      <c r="DW120" s="432"/>
    </row>
    <row r="121" spans="3:127" ht="12.75">
      <c r="C121" s="1166" t="s">
        <v>597</v>
      </c>
      <c r="D121" s="1166"/>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92"/>
      <c r="AJ121" s="592"/>
      <c r="AK121" s="592"/>
      <c r="AL121" s="592"/>
      <c r="AM121" s="568"/>
      <c r="AN121" s="568"/>
      <c r="AO121" s="568"/>
      <c r="AP121" s="568"/>
      <c r="AQ121" s="568"/>
      <c r="AR121" s="568"/>
      <c r="AS121" s="568"/>
      <c r="AT121" s="568"/>
      <c r="AU121" s="568"/>
      <c r="AV121" s="568"/>
      <c r="AW121" s="568"/>
      <c r="AX121" s="568"/>
      <c r="AY121" s="568"/>
      <c r="AZ121" s="568"/>
      <c r="BA121" s="568"/>
      <c r="BB121" s="568"/>
      <c r="BC121" s="568"/>
      <c r="BD121" s="568"/>
      <c r="BE121" s="568"/>
      <c r="BF121" s="568"/>
      <c r="BG121" s="568"/>
      <c r="BH121" s="568"/>
      <c r="BI121" s="568"/>
      <c r="BJ121" s="568"/>
      <c r="BK121" s="568"/>
      <c r="BL121" s="568"/>
      <c r="BM121" s="568"/>
      <c r="BN121" s="568"/>
      <c r="BO121" s="568"/>
      <c r="BP121" s="568"/>
      <c r="BQ121" s="568"/>
      <c r="BR121" s="568"/>
      <c r="BS121" s="568"/>
      <c r="BT121" s="568"/>
      <c r="BU121" s="568"/>
      <c r="BV121" s="568"/>
      <c r="BW121" s="568"/>
      <c r="BX121" s="568"/>
      <c r="BY121" s="574"/>
      <c r="BZ121" s="573"/>
      <c r="CA121" s="573"/>
      <c r="CB121" s="568"/>
      <c r="DW121" s="432" t="str">
        <f>C121</f>
        <v> Secondary Middle Deemed</v>
      </c>
    </row>
    <row r="122" spans="2:145" ht="12.75">
      <c r="B122" s="480"/>
      <c r="C122" s="531"/>
      <c r="D122" s="531"/>
      <c r="E122" s="522"/>
      <c r="F122" s="522"/>
      <c r="G122" s="522"/>
      <c r="H122" s="522"/>
      <c r="I122" s="522"/>
      <c r="J122" s="522"/>
      <c r="K122" s="522"/>
      <c r="L122" s="522"/>
      <c r="M122" s="586"/>
      <c r="N122" s="481"/>
      <c r="O122" s="481"/>
      <c r="P122" s="481"/>
      <c r="Q122" s="481"/>
      <c r="R122" s="481"/>
      <c r="S122" s="481"/>
      <c r="T122" s="481"/>
      <c r="U122" s="481"/>
      <c r="V122" s="481"/>
      <c r="W122" s="481"/>
      <c r="X122" s="481"/>
      <c r="Y122" s="481"/>
      <c r="Z122" s="481"/>
      <c r="AA122" s="481"/>
      <c r="AB122" s="481">
        <f>SUM(E122:AA122)</f>
        <v>0</v>
      </c>
      <c r="AC122" s="481">
        <f>IF(ISERROR($E$16*E122),0,$E$16*E122)+IF(ISERROR($F$16*F122),0,$F$16*F122)+IF(ISERROR($G$16*G122),0,$G$16*G122)+IF(ISERROR($H$16*H122),0,$H$16*H122)+IF(ISERROR($I$16*I122),0,$I$16*I122)+IF(ISERROR($J$16*J122),0,$J$16*J122)+IF(ISERROR($K$16*K122),0,$K$16*K122)+IF(ISERROR($L$16*L122),0,$L$16*L122)+IF(ISERROR($M$16*M122),0,$M$16*M122)+IF(ISERROR($N$16*N122),0,$N$16*N122)+IF(ISERROR($O$16*O122),0,$O$16*O122)+IF(ISERROR($P$16*P122),0,$P$16*P122)+IF(ISERROR($Q$16*Q122),0,$Q$16*Q122)+IF(ISERROR($R$16*R122),0,$R$16*R122)+IF(ISERROR($S$16*S122),0,$S$16*S122)+IF(ISERROR($T$16*T122),0,$T$16*T122)+IF(ISERROR($U$16*U122),0,$U$16*U122)+IF(ISERROR($V$16*V122),0,$V$16*V122)+IF(ISERROR($W$16*W122),0,$W$16*W122)+IF(ISERROR($X$16*X122),0,$X$16*X122)+IF(ISERROR($Y$16*Y122),0,$Y$16*Y122)+IF(ISERROR($Z$16*Z122),0,$Z$16*Z122)</f>
        <v>0</v>
      </c>
      <c r="AD122" s="481"/>
      <c r="AE122" s="481"/>
      <c r="AF122" s="481"/>
      <c r="AG122" s="481"/>
      <c r="AH122" s="481"/>
      <c r="AI122" s="532"/>
      <c r="AJ122" s="532">
        <f>SUM(AD122:AI122)</f>
        <v>0</v>
      </c>
      <c r="AK122" s="532"/>
      <c r="AL122" s="532">
        <f>SUM(AK122)</f>
        <v>0</v>
      </c>
      <c r="AM122" s="481"/>
      <c r="AN122" s="481"/>
      <c r="AO122" s="542">
        <f>SUM(AM122:AN122)</f>
        <v>0</v>
      </c>
      <c r="AP122" s="481"/>
      <c r="AQ122" s="481"/>
      <c r="AR122" s="481"/>
      <c r="AS122" s="481"/>
      <c r="AT122" s="481"/>
      <c r="AU122" s="532">
        <f>SUM(AP122:AT122)</f>
        <v>0</v>
      </c>
      <c r="AV122" s="481"/>
      <c r="AW122" s="481"/>
      <c r="AX122" s="532">
        <f>SUM(AV122:AW122)</f>
        <v>0</v>
      </c>
      <c r="AY122" s="481"/>
      <c r="AZ122" s="481"/>
      <c r="BA122" s="481"/>
      <c r="BB122" s="481"/>
      <c r="BC122" s="532">
        <f>SUM(AY122:BB122)</f>
        <v>0</v>
      </c>
      <c r="BD122" s="481"/>
      <c r="BE122" s="481"/>
      <c r="BF122" s="481"/>
      <c r="BG122" s="481"/>
      <c r="BH122" s="481"/>
      <c r="BI122" s="532">
        <f>SUM(BD122:BH122)</f>
        <v>0</v>
      </c>
      <c r="BJ122" s="481"/>
      <c r="BK122" s="481"/>
      <c r="BL122" s="481"/>
      <c r="BM122" s="481"/>
      <c r="BN122" s="532">
        <f>SUM(BJ122:BM122)</f>
        <v>0</v>
      </c>
      <c r="BO122" s="481"/>
      <c r="BP122" s="481"/>
      <c r="BQ122" s="481"/>
      <c r="BR122" s="481"/>
      <c r="BS122" s="481"/>
      <c r="BT122" s="532">
        <f>SUM(BO122:BS122)</f>
        <v>0</v>
      </c>
      <c r="BU122" s="481"/>
      <c r="BV122" s="481"/>
      <c r="BW122" s="532">
        <f>SUM(BU122:BV122)</f>
        <v>0</v>
      </c>
      <c r="BX122" s="532"/>
      <c r="BY122" s="532">
        <f>IF(ISERROR(SUM(AC122,AJ122,AL122,AO122,AU122,AX122,BC122,BI122,BN122,BT122,BW122,BX122)),0,SUM(AC122,AJ122,AL122,AO122,AU122,AX122,BC122,BI122,BN122,BT122,BW122,BX122))</f>
        <v>0</v>
      </c>
      <c r="BZ122" s="543">
        <f>SUM(AC122:BX122)+AC122+BX122</f>
        <v>0</v>
      </c>
      <c r="CA122" s="441">
        <f>IF(ISERROR($E$16*E122),0,$E$16*E122)+IF(ISERROR($F$16*F122),0,$F$16*F122)+IF(ISERROR($G$16*G122),0,$G$16*G122)+IF(ISERROR($H$16*H122),0,$H$16*H122)+IF(ISERROR($I$16*I122),0,$I$16*I122)+IF(ISERROR($J$16*J122),0,$J$16*J122)+IF(ISERROR($K$16*K122),0,$K$16*K122)+IF(ISERROR($L$16*L122),0,$L$16*L122)+IF(ISERROR($M$16*M122),0,$M$16*M122)+IF(ISERROR($N$16*N122),0,$N$16*N122)+IF(ISERROR($O$16*O122),0,$O$16*O122)+IF(ISERROR($P$16*P122),0,$P$16*P122)+IF(ISERROR($Q$16*Q122),0,$Q$16*Q122)+IF(ISERROR($R$16*R122),0,$R$16*R122)+IF(ISERROR($S$16*S122),0,$S$16*S122)+IF(ISERROR($T$16*T122),0,$T$16*T122)+IF(ISERROR($U$16*U122),0,$U$16*U122)+IF(ISERROR($V$16*V122),0,$V$16*V122)+IF(ISERROR($W$16*W122),0,$W$16*W122)+IF(ISERROR($X$16*X122),0,$X$16*X122)+IF(ISERROR($Y$16*Y122),0,$Y$16*Y122)+IF(ISERROR($Z$16*Z122),0,$Z$16*Z122)+IF(ISERROR($AA$16*AA122),0,$AA$16*AA122)</f>
        <v>0</v>
      </c>
      <c r="DW122" s="483"/>
      <c r="DX122" s="442">
        <f>'Table 2'!AS113</f>
      </c>
      <c r="DY122" s="442">
        <f>'Table 2'!AT113</f>
      </c>
      <c r="DZ122" s="442">
        <f>'Table 2'!AU113</f>
      </c>
      <c r="EA122" s="442">
        <f>'Table 2'!AV113</f>
      </c>
      <c r="EB122" s="442">
        <f>'Table 2'!AW113</f>
      </c>
      <c r="EC122" s="442">
        <f>'Table 2'!AX113</f>
      </c>
      <c r="ED122" s="442">
        <f>'Table 2'!AY113</f>
      </c>
      <c r="EE122" s="442">
        <f>'Table 2'!AZ113</f>
      </c>
      <c r="EF122" s="442">
        <f>'Table 2'!BA113</f>
      </c>
      <c r="EG122" s="442">
        <f>'Table 2'!BB113</f>
      </c>
      <c r="EH122" s="442">
        <f>'Table 2'!BC113</f>
      </c>
      <c r="EI122" s="442">
        <f>'Table 2'!BD113</f>
      </c>
      <c r="EJ122" s="442">
        <f>'Table 2'!BE113</f>
      </c>
      <c r="EK122" s="442">
        <f>'Table 2'!BF113</f>
      </c>
      <c r="EL122" s="442">
        <f>'Table 2'!BG113</f>
      </c>
      <c r="EM122" s="442">
        <f>'Table 2'!BH113</f>
      </c>
      <c r="EN122" s="442">
        <f>'Table 2'!BT113</f>
      </c>
      <c r="EO122" s="434">
        <f>IF(LEN(TRIM(DW122&amp;DX122&amp;DY122&amp;DZ122&amp;EA122&amp;EB122&amp;EC122&amp;ED122&amp;EE122&amp;EF122&amp;EG122&amp;EH122&amp;EI122&amp;EJ122&amp;EK122&amp;EL122&amp;EM122&amp;EN122))&gt;0,1,0)</f>
        <v>0</v>
      </c>
    </row>
    <row r="123" spans="35:127" ht="13.5" thickBot="1">
      <c r="AI123" s="428"/>
      <c r="AJ123" s="428"/>
      <c r="AK123" s="428"/>
      <c r="AL123" s="428"/>
      <c r="BX123" s="568"/>
      <c r="BY123" s="576"/>
      <c r="BZ123" s="66"/>
      <c r="CA123" s="66"/>
      <c r="CB123" s="568"/>
      <c r="DW123" s="432"/>
    </row>
    <row r="124" spans="3:145" ht="15.75" customHeight="1" thickBot="1" thickTop="1">
      <c r="C124" s="1166" t="s">
        <v>598</v>
      </c>
      <c r="D124" s="1166"/>
      <c r="E124" s="594">
        <f>SUM(E122:E123)</f>
        <v>0</v>
      </c>
      <c r="F124" s="594">
        <f aca="true" t="shared" si="69" ref="F124:M124">SUM(F122:F123)</f>
        <v>0</v>
      </c>
      <c r="G124" s="594">
        <f t="shared" si="69"/>
        <v>0</v>
      </c>
      <c r="H124" s="594">
        <f t="shared" si="69"/>
        <v>0</v>
      </c>
      <c r="I124" s="594">
        <f t="shared" si="69"/>
        <v>0</v>
      </c>
      <c r="J124" s="594">
        <f t="shared" si="69"/>
        <v>0</v>
      </c>
      <c r="K124" s="594">
        <f t="shared" si="69"/>
        <v>0</v>
      </c>
      <c r="L124" s="594">
        <f t="shared" si="69"/>
        <v>0</v>
      </c>
      <c r="M124" s="594">
        <f t="shared" si="69"/>
        <v>0</v>
      </c>
      <c r="N124" s="485">
        <f>SUM(N122:N123)</f>
        <v>0</v>
      </c>
      <c r="O124" s="485">
        <f aca="true" t="shared" si="70" ref="O124:BY124">SUM(O122:O123)</f>
        <v>0</v>
      </c>
      <c r="P124" s="485">
        <f t="shared" si="70"/>
        <v>0</v>
      </c>
      <c r="Q124" s="485">
        <f t="shared" si="70"/>
        <v>0</v>
      </c>
      <c r="R124" s="485"/>
      <c r="S124" s="485">
        <f t="shared" si="70"/>
        <v>0</v>
      </c>
      <c r="T124" s="485">
        <f t="shared" si="70"/>
        <v>0</v>
      </c>
      <c r="U124" s="485">
        <f t="shared" si="70"/>
        <v>0</v>
      </c>
      <c r="V124" s="485">
        <f t="shared" si="70"/>
        <v>0</v>
      </c>
      <c r="W124" s="485">
        <f t="shared" si="70"/>
        <v>0</v>
      </c>
      <c r="X124" s="485">
        <f t="shared" si="70"/>
        <v>0</v>
      </c>
      <c r="Y124" s="485">
        <f>SUM(Y122:Y123)</f>
        <v>0</v>
      </c>
      <c r="Z124" s="485">
        <f>SUM(Z122:Z123)</f>
        <v>0</v>
      </c>
      <c r="AA124" s="485">
        <f>SUM(AA122:AA123)</f>
        <v>0</v>
      </c>
      <c r="AB124" s="485">
        <f t="shared" si="70"/>
        <v>0</v>
      </c>
      <c r="AC124" s="485">
        <f t="shared" si="70"/>
        <v>0</v>
      </c>
      <c r="AD124" s="485">
        <f t="shared" si="70"/>
        <v>0</v>
      </c>
      <c r="AE124" s="485">
        <f t="shared" si="70"/>
        <v>0</v>
      </c>
      <c r="AF124" s="485">
        <f t="shared" si="70"/>
        <v>0</v>
      </c>
      <c r="AG124" s="485">
        <f t="shared" si="70"/>
        <v>0</v>
      </c>
      <c r="AH124" s="485">
        <f t="shared" si="70"/>
        <v>0</v>
      </c>
      <c r="AI124" s="549">
        <f t="shared" si="70"/>
        <v>0</v>
      </c>
      <c r="AJ124" s="549">
        <f t="shared" si="70"/>
        <v>0</v>
      </c>
      <c r="AK124" s="549">
        <f t="shared" si="70"/>
        <v>0</v>
      </c>
      <c r="AL124" s="549">
        <f t="shared" si="70"/>
        <v>0</v>
      </c>
      <c r="AM124" s="485">
        <f>SUM(AM122:AM123)</f>
        <v>0</v>
      </c>
      <c r="AN124" s="485">
        <f>SUM(AN122:AN123)</f>
        <v>0</v>
      </c>
      <c r="AO124" s="577">
        <f>SUM(AO122:AO123)</f>
        <v>0</v>
      </c>
      <c r="AP124" s="485">
        <f t="shared" si="70"/>
        <v>0</v>
      </c>
      <c r="AQ124" s="485">
        <f t="shared" si="70"/>
        <v>0</v>
      </c>
      <c r="AR124" s="485">
        <f t="shared" si="70"/>
        <v>0</v>
      </c>
      <c r="AS124" s="485">
        <f t="shared" si="70"/>
        <v>0</v>
      </c>
      <c r="AT124" s="485">
        <f t="shared" si="70"/>
        <v>0</v>
      </c>
      <c r="AU124" s="485">
        <f t="shared" si="70"/>
        <v>0</v>
      </c>
      <c r="AV124" s="485">
        <f>SUM(AV122:AV123)</f>
        <v>0</v>
      </c>
      <c r="AW124" s="485">
        <f>SUM(AW122:AW123)</f>
        <v>0</v>
      </c>
      <c r="AX124" s="485">
        <f>SUM(AX122:AX123)</f>
        <v>0</v>
      </c>
      <c r="AY124" s="485">
        <f aca="true" t="shared" si="71" ref="AY124:BI124">SUM(AY122:AY123)</f>
        <v>0</v>
      </c>
      <c r="AZ124" s="485">
        <f>SUM(AZ122:AZ123)</f>
        <v>0</v>
      </c>
      <c r="BA124" s="485">
        <f>SUM(BA122:BA123)</f>
        <v>0</v>
      </c>
      <c r="BB124" s="485">
        <f t="shared" si="71"/>
        <v>0</v>
      </c>
      <c r="BC124" s="485">
        <f t="shared" si="71"/>
        <v>0</v>
      </c>
      <c r="BD124" s="485">
        <f t="shared" si="71"/>
        <v>0</v>
      </c>
      <c r="BE124" s="485">
        <f>SUM(BE122:BE123)</f>
        <v>0</v>
      </c>
      <c r="BF124" s="485">
        <f>SUM(BF122:BF123)</f>
        <v>0</v>
      </c>
      <c r="BG124" s="485">
        <f>SUM(BG122:BG123)</f>
        <v>0</v>
      </c>
      <c r="BH124" s="485">
        <f>SUM(BH122:BH123)</f>
        <v>0</v>
      </c>
      <c r="BI124" s="485">
        <f t="shared" si="71"/>
        <v>0</v>
      </c>
      <c r="BJ124" s="485">
        <f>SUM(BJ122:BJ123)</f>
        <v>0</v>
      </c>
      <c r="BK124" s="485">
        <f>SUM(BK122:BK123)</f>
        <v>0</v>
      </c>
      <c r="BL124" s="485">
        <f>SUM(BL122:BL123)</f>
        <v>0</v>
      </c>
      <c r="BM124" s="485">
        <f>SUM(BM122:BM123)</f>
        <v>0</v>
      </c>
      <c r="BN124" s="485">
        <f>SUM(BN122:BN123)</f>
        <v>0</v>
      </c>
      <c r="BO124" s="485">
        <f t="shared" si="70"/>
        <v>0</v>
      </c>
      <c r="BP124" s="485">
        <f>SUM(BP122:BP123)</f>
        <v>0</v>
      </c>
      <c r="BQ124" s="485">
        <f>SUM(BQ122:BQ123)</f>
        <v>0</v>
      </c>
      <c r="BR124" s="485">
        <f>SUM(BR122:BR123)</f>
        <v>0</v>
      </c>
      <c r="BS124" s="485">
        <f>SUM(BS122:BS123)</f>
        <v>0</v>
      </c>
      <c r="BT124" s="485">
        <f t="shared" si="70"/>
        <v>0</v>
      </c>
      <c r="BU124" s="485">
        <f t="shared" si="70"/>
        <v>0</v>
      </c>
      <c r="BV124" s="485">
        <f t="shared" si="70"/>
        <v>0</v>
      </c>
      <c r="BW124" s="485">
        <f t="shared" si="70"/>
        <v>0</v>
      </c>
      <c r="BX124" s="485">
        <f t="shared" si="70"/>
        <v>0</v>
      </c>
      <c r="BY124" s="485">
        <f t="shared" si="70"/>
        <v>0</v>
      </c>
      <c r="BZ124" s="67"/>
      <c r="CA124" s="441"/>
      <c r="DW124" s="432" t="str">
        <f>C124</f>
        <v>Middle Deemed Secondary Total</v>
      </c>
      <c r="DZ124" s="570"/>
      <c r="EA124" s="570" t="s">
        <v>581</v>
      </c>
      <c r="EB124" s="570"/>
      <c r="EC124" s="570"/>
      <c r="ED124" s="570"/>
      <c r="EE124" s="570"/>
      <c r="EF124" s="570"/>
      <c r="EG124" s="570"/>
      <c r="EH124" s="570"/>
      <c r="EI124" s="570"/>
      <c r="EJ124" s="570"/>
      <c r="EK124" s="570"/>
      <c r="EL124" s="570"/>
      <c r="EM124" s="570"/>
      <c r="EN124" s="570"/>
      <c r="EO124" s="432"/>
    </row>
    <row r="125" spans="3:145" ht="14.25" thickBot="1" thickTop="1">
      <c r="C125" s="548"/>
      <c r="D125" s="548"/>
      <c r="E125" s="565"/>
      <c r="F125" s="565"/>
      <c r="G125" s="565"/>
      <c r="H125" s="565"/>
      <c r="I125" s="565"/>
      <c r="J125" s="565"/>
      <c r="K125" s="565"/>
      <c r="L125" s="565"/>
      <c r="M125" s="565"/>
      <c r="N125" s="564"/>
      <c r="O125" s="564"/>
      <c r="P125" s="564"/>
      <c r="Q125" s="564"/>
      <c r="R125" s="564"/>
      <c r="S125" s="564"/>
      <c r="T125" s="564"/>
      <c r="U125" s="564"/>
      <c r="V125" s="564"/>
      <c r="W125" s="564"/>
      <c r="X125" s="564"/>
      <c r="Y125" s="564"/>
      <c r="Z125" s="564"/>
      <c r="AA125" s="564"/>
      <c r="AB125" s="564"/>
      <c r="AC125" s="564"/>
      <c r="AD125" s="564"/>
      <c r="AE125" s="564"/>
      <c r="AF125" s="564"/>
      <c r="AG125" s="564"/>
      <c r="AH125" s="564"/>
      <c r="AI125" s="559"/>
      <c r="AJ125" s="559"/>
      <c r="AK125" s="559"/>
      <c r="AL125" s="559"/>
      <c r="AM125" s="564"/>
      <c r="AN125" s="564"/>
      <c r="AO125" s="564"/>
      <c r="AP125" s="564"/>
      <c r="AQ125" s="564"/>
      <c r="AR125" s="564"/>
      <c r="AS125" s="564"/>
      <c r="AT125" s="564"/>
      <c r="AU125" s="564"/>
      <c r="AV125" s="564"/>
      <c r="AW125" s="564"/>
      <c r="AX125" s="564"/>
      <c r="AY125" s="564"/>
      <c r="AZ125" s="564"/>
      <c r="BA125" s="564"/>
      <c r="BB125" s="564"/>
      <c r="BC125" s="564"/>
      <c r="BD125" s="564"/>
      <c r="BE125" s="564"/>
      <c r="BF125" s="564"/>
      <c r="BG125" s="564"/>
      <c r="BH125" s="564"/>
      <c r="BI125" s="564"/>
      <c r="BJ125" s="564"/>
      <c r="BK125" s="564"/>
      <c r="BL125" s="564"/>
      <c r="BM125" s="564"/>
      <c r="BN125" s="564"/>
      <c r="BO125" s="564"/>
      <c r="BP125" s="564"/>
      <c r="BQ125" s="564"/>
      <c r="BR125" s="564"/>
      <c r="BS125" s="564"/>
      <c r="BT125" s="564"/>
      <c r="BU125" s="564"/>
      <c r="BV125" s="564"/>
      <c r="BW125" s="564"/>
      <c r="BX125" s="564"/>
      <c r="BY125" s="564"/>
      <c r="BZ125" s="593"/>
      <c r="CA125" s="593"/>
      <c r="CB125" s="568"/>
      <c r="DW125" s="432"/>
      <c r="DZ125" s="570"/>
      <c r="EA125" s="570"/>
      <c r="EB125" s="570"/>
      <c r="EC125" s="570"/>
      <c r="ED125" s="570"/>
      <c r="EE125" s="570"/>
      <c r="EF125" s="570"/>
      <c r="EG125" s="570"/>
      <c r="EH125" s="570"/>
      <c r="EI125" s="570"/>
      <c r="EJ125" s="570"/>
      <c r="EK125" s="570"/>
      <c r="EL125" s="570"/>
      <c r="EM125" s="570"/>
      <c r="EN125" s="570"/>
      <c r="EO125" s="432"/>
    </row>
    <row r="126" spans="3:145" ht="16.5" customHeight="1" thickBot="1" thickTop="1">
      <c r="C126" s="1166" t="s">
        <v>599</v>
      </c>
      <c r="D126" s="1166"/>
      <c r="E126" s="594">
        <f>SUM(E119,E124)</f>
        <v>0</v>
      </c>
      <c r="F126" s="594">
        <f aca="true" t="shared" si="72" ref="F126:M126">SUM(F119,F124)</f>
        <v>0</v>
      </c>
      <c r="G126" s="594">
        <f t="shared" si="72"/>
        <v>0</v>
      </c>
      <c r="H126" s="594">
        <f t="shared" si="72"/>
        <v>0</v>
      </c>
      <c r="I126" s="594">
        <f t="shared" si="72"/>
        <v>0</v>
      </c>
      <c r="J126" s="594">
        <f t="shared" si="72"/>
        <v>0</v>
      </c>
      <c r="K126" s="594">
        <f t="shared" si="72"/>
        <v>0</v>
      </c>
      <c r="L126" s="594">
        <f t="shared" si="72"/>
        <v>0</v>
      </c>
      <c r="M126" s="594">
        <f t="shared" si="72"/>
        <v>0</v>
      </c>
      <c r="N126" s="485">
        <f>SUM(N119,N124)</f>
        <v>0</v>
      </c>
      <c r="O126" s="485">
        <f aca="true" t="shared" si="73" ref="O126:AD126">SUM(O119,O124)</f>
        <v>0</v>
      </c>
      <c r="P126" s="485">
        <f t="shared" si="73"/>
        <v>0</v>
      </c>
      <c r="Q126" s="485">
        <f t="shared" si="73"/>
        <v>0</v>
      </c>
      <c r="R126" s="485"/>
      <c r="S126" s="485">
        <f t="shared" si="73"/>
        <v>2648</v>
      </c>
      <c r="T126" s="485">
        <f t="shared" si="73"/>
        <v>2655</v>
      </c>
      <c r="U126" s="485">
        <f t="shared" si="73"/>
        <v>2660</v>
      </c>
      <c r="V126" s="485">
        <f t="shared" si="73"/>
        <v>0</v>
      </c>
      <c r="W126" s="485">
        <f t="shared" si="73"/>
        <v>2623</v>
      </c>
      <c r="X126" s="485">
        <f t="shared" si="73"/>
        <v>2673</v>
      </c>
      <c r="Y126" s="485">
        <f t="shared" si="73"/>
        <v>0</v>
      </c>
      <c r="Z126" s="485">
        <f t="shared" si="73"/>
        <v>0</v>
      </c>
      <c r="AA126" s="485">
        <f t="shared" si="73"/>
        <v>988</v>
      </c>
      <c r="AB126" s="485">
        <f t="shared" si="73"/>
        <v>14247</v>
      </c>
      <c r="AC126" s="485">
        <f t="shared" si="73"/>
        <v>40144774.89</v>
      </c>
      <c r="AD126" s="485">
        <f t="shared" si="73"/>
        <v>0</v>
      </c>
      <c r="AE126" s="485">
        <f aca="true" t="shared" si="74" ref="AE126:AL126">SUM(AE119,AE124)</f>
        <v>0</v>
      </c>
      <c r="AF126" s="485">
        <f t="shared" si="74"/>
        <v>0</v>
      </c>
      <c r="AG126" s="485">
        <f t="shared" si="74"/>
        <v>0</v>
      </c>
      <c r="AH126" s="485">
        <f t="shared" si="74"/>
        <v>0</v>
      </c>
      <c r="AI126" s="549">
        <f t="shared" si="74"/>
        <v>0</v>
      </c>
      <c r="AJ126" s="549">
        <f>SUM(AJ119,AJ124)</f>
        <v>0</v>
      </c>
      <c r="AK126" s="549">
        <f t="shared" si="74"/>
        <v>5029418</v>
      </c>
      <c r="AL126" s="549">
        <f t="shared" si="74"/>
        <v>5029418</v>
      </c>
      <c r="AM126" s="485">
        <f aca="true" t="shared" si="75" ref="AM126:AX126">SUM(AM119,AM124)</f>
        <v>0</v>
      </c>
      <c r="AN126" s="485">
        <f t="shared" si="75"/>
        <v>0</v>
      </c>
      <c r="AO126" s="557">
        <f t="shared" si="75"/>
        <v>0</v>
      </c>
      <c r="AP126" s="485">
        <f t="shared" si="75"/>
        <v>675524</v>
      </c>
      <c r="AQ126" s="485">
        <f>SUM(AQ119,AQ124)</f>
        <v>802434</v>
      </c>
      <c r="AR126" s="485">
        <f t="shared" si="75"/>
        <v>677067</v>
      </c>
      <c r="AS126" s="485">
        <f t="shared" si="75"/>
        <v>0</v>
      </c>
      <c r="AT126" s="485">
        <f t="shared" si="75"/>
        <v>1021343</v>
      </c>
      <c r="AU126" s="549">
        <f t="shared" si="75"/>
        <v>3176368</v>
      </c>
      <c r="AV126" s="485">
        <f t="shared" si="75"/>
        <v>56124</v>
      </c>
      <c r="AW126" s="485">
        <f t="shared" si="75"/>
        <v>109344</v>
      </c>
      <c r="AX126" s="549">
        <f t="shared" si="75"/>
        <v>165468</v>
      </c>
      <c r="AY126" s="485">
        <f aca="true" t="shared" si="76" ref="AY126:BI126">SUM(AY119,AY124)</f>
        <v>578022</v>
      </c>
      <c r="AZ126" s="485">
        <f>SUM(AZ119,AZ124)</f>
        <v>383027</v>
      </c>
      <c r="BA126" s="485">
        <f>SUM(BA119,BA124)</f>
        <v>422826</v>
      </c>
      <c r="BB126" s="485">
        <f t="shared" si="76"/>
        <v>213636</v>
      </c>
      <c r="BC126" s="549">
        <f t="shared" si="76"/>
        <v>1597511</v>
      </c>
      <c r="BD126" s="485">
        <f t="shared" si="76"/>
        <v>0</v>
      </c>
      <c r="BE126" s="485">
        <f>SUM(BE119,BE124)</f>
        <v>419306</v>
      </c>
      <c r="BF126" s="485">
        <f>SUM(BF119,BF124)</f>
        <v>13666</v>
      </c>
      <c r="BG126" s="485">
        <f>SUM(BG119,BG124)</f>
        <v>279139</v>
      </c>
      <c r="BH126" s="485">
        <f>SUM(BH119,BH124)</f>
        <v>325153</v>
      </c>
      <c r="BI126" s="549">
        <f t="shared" si="76"/>
        <v>1037264</v>
      </c>
      <c r="BJ126" s="485">
        <f aca="true" t="shared" si="77" ref="BJ126:BY126">SUM(BJ119,BJ124)</f>
        <v>1085384</v>
      </c>
      <c r="BK126" s="485">
        <f>SUM(BK119,BK124)</f>
        <v>94484</v>
      </c>
      <c r="BL126" s="485">
        <f>SUM(BL119,BL124)</f>
        <v>2412926</v>
      </c>
      <c r="BM126" s="485">
        <f>SUM(BM119,BM124)</f>
        <v>172155</v>
      </c>
      <c r="BN126" s="549">
        <f t="shared" si="77"/>
        <v>3764949</v>
      </c>
      <c r="BO126" s="485">
        <f t="shared" si="77"/>
        <v>2678820</v>
      </c>
      <c r="BP126" s="485">
        <f>SUM(BP119,BP124)</f>
        <v>0</v>
      </c>
      <c r="BQ126" s="485">
        <f>SUM(BQ119,BQ124)</f>
        <v>109936</v>
      </c>
      <c r="BR126" s="485">
        <f>SUM(BR119,BR124)</f>
        <v>371661</v>
      </c>
      <c r="BS126" s="485">
        <f>SUM(BS119,BS124)</f>
        <v>0</v>
      </c>
      <c r="BT126" s="549">
        <f t="shared" si="77"/>
        <v>3160417</v>
      </c>
      <c r="BU126" s="485">
        <f t="shared" si="77"/>
        <v>0</v>
      </c>
      <c r="BV126" s="485">
        <f t="shared" si="77"/>
        <v>-470366</v>
      </c>
      <c r="BW126" s="549">
        <f t="shared" si="77"/>
        <v>-470366</v>
      </c>
      <c r="BX126" s="549">
        <f t="shared" si="77"/>
        <v>0</v>
      </c>
      <c r="BY126" s="549">
        <f t="shared" si="77"/>
        <v>57605803.88999999</v>
      </c>
      <c r="BZ126" s="67"/>
      <c r="CA126" s="441"/>
      <c r="DW126" s="432" t="str">
        <f>C126</f>
        <v>Secondary Total</v>
      </c>
      <c r="DZ126" s="488">
        <f>'Table 2'!AU115</f>
        <v>40144774.89</v>
      </c>
      <c r="EA126" s="488">
        <f>'Table 2'!AV115</f>
        <v>0</v>
      </c>
      <c r="EB126" s="488">
        <f>'Table 2'!AW115</f>
        <v>5029418</v>
      </c>
      <c r="EC126" s="488">
        <f>'Table 2'!AX115</f>
        <v>0</v>
      </c>
      <c r="ED126" s="488">
        <f>'Table 2'!AY115</f>
        <v>3176368</v>
      </c>
      <c r="EE126" s="488">
        <f>'Table 2'!AZ115</f>
        <v>165468</v>
      </c>
      <c r="EF126" s="488">
        <f>'Table 2'!BA115</f>
        <v>1597511</v>
      </c>
      <c r="EG126" s="488">
        <f>'Table 2'!BB115</f>
        <v>1037264</v>
      </c>
      <c r="EH126" s="488">
        <f>'Table 2'!BC115</f>
        <v>3764949</v>
      </c>
      <c r="EI126" s="488">
        <f>'Table 2'!BD115</f>
        <v>3160417</v>
      </c>
      <c r="EJ126" s="488">
        <f>'Table 2'!BE115</f>
        <v>-470366</v>
      </c>
      <c r="EK126" s="488">
        <f>'Table 2'!BF115</f>
        <v>0</v>
      </c>
      <c r="EL126" s="488">
        <f>'Table 2'!BG115</f>
        <v>57605803.88999999</v>
      </c>
      <c r="EM126" s="488">
        <f>'Table 2'!BH115</f>
        <v>14247</v>
      </c>
      <c r="EN126" s="488">
        <f>'Table 2'!BT115</f>
        <v>0</v>
      </c>
      <c r="EO126" s="434">
        <f>IF(OR(LEFT(DZ126,1)="E",LEFT(EA126,1)="E",LEFT(EB126,1)="E",LEFT(EC126,1)="E",LEFT(ED126,1)="E",LEFT(EE126,1)="E",LEFT(EF126,1)="E",LEFT(EG126,1)="E",LEFT(EH126,1)="E",LEFT(EI126,1)="E",LEFT(EJ126,1)="E",LEFT(EK126,1)="E",LEFT(EL126,1)="E",LEFT(EM126,1)="E",LEFT(EN126,1)="E"),1,0)</f>
        <v>0</v>
      </c>
    </row>
    <row r="127" spans="3:145" ht="20.25" customHeight="1" thickTop="1">
      <c r="C127" s="548"/>
      <c r="D127" s="548"/>
      <c r="E127" s="595"/>
      <c r="F127" s="595"/>
      <c r="G127" s="595"/>
      <c r="H127" s="595"/>
      <c r="I127" s="595"/>
      <c r="J127" s="595"/>
      <c r="K127" s="595"/>
      <c r="L127" s="595"/>
      <c r="M127" s="595"/>
      <c r="N127" s="596"/>
      <c r="O127" s="596"/>
      <c r="P127" s="596"/>
      <c r="Q127" s="596"/>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6"/>
      <c r="AY127" s="596"/>
      <c r="AZ127" s="596"/>
      <c r="BA127" s="596"/>
      <c r="BB127" s="596"/>
      <c r="BC127" s="596"/>
      <c r="BD127" s="596"/>
      <c r="BE127" s="596"/>
      <c r="BF127" s="596"/>
      <c r="BG127" s="596"/>
      <c r="BH127" s="596"/>
      <c r="BI127" s="596"/>
      <c r="BJ127" s="596"/>
      <c r="BK127" s="596"/>
      <c r="BL127" s="596"/>
      <c r="BM127" s="596"/>
      <c r="BN127" s="596"/>
      <c r="BO127" s="596"/>
      <c r="BP127" s="596"/>
      <c r="BQ127" s="596"/>
      <c r="BR127" s="596"/>
      <c r="BS127" s="596"/>
      <c r="BT127" s="596"/>
      <c r="BU127" s="596"/>
      <c r="BV127" s="596"/>
      <c r="BW127" s="596"/>
      <c r="BX127" s="596"/>
      <c r="BY127" s="597"/>
      <c r="BZ127" s="598"/>
      <c r="CA127" s="598"/>
      <c r="CB127" s="599"/>
      <c r="CC127" s="599"/>
      <c r="CD127" s="599"/>
      <c r="CE127" s="599"/>
      <c r="CF127" s="599"/>
      <c r="CG127" s="599"/>
      <c r="CH127" s="599"/>
      <c r="CI127" s="599"/>
      <c r="DW127" s="432"/>
      <c r="DZ127" s="570"/>
      <c r="EA127" s="570"/>
      <c r="EB127" s="570"/>
      <c r="EC127" s="570"/>
      <c r="ED127" s="570"/>
      <c r="EE127" s="570"/>
      <c r="EF127" s="570"/>
      <c r="EG127" s="570"/>
      <c r="EH127" s="570"/>
      <c r="EI127" s="570"/>
      <c r="EJ127" s="570"/>
      <c r="EK127" s="570"/>
      <c r="EL127" s="570"/>
      <c r="EM127" s="570"/>
      <c r="EN127" s="570"/>
      <c r="EO127" s="435"/>
    </row>
    <row r="128" spans="3:127" ht="24" customHeight="1">
      <c r="C128" s="1131" t="s">
        <v>600</v>
      </c>
      <c r="D128" s="1132"/>
      <c r="E128" s="534"/>
      <c r="F128" s="535"/>
      <c r="G128" s="535"/>
      <c r="H128" s="535"/>
      <c r="I128" s="535"/>
      <c r="J128" s="535"/>
      <c r="K128" s="535"/>
      <c r="L128" s="535"/>
      <c r="M128" s="535"/>
      <c r="N128" s="535"/>
      <c r="O128" s="535"/>
      <c r="P128" s="535"/>
      <c r="Q128" s="535"/>
      <c r="R128" s="535"/>
      <c r="S128" s="535"/>
      <c r="T128" s="535"/>
      <c r="U128" s="535"/>
      <c r="V128" s="535"/>
      <c r="W128" s="535"/>
      <c r="X128" s="535"/>
      <c r="Y128" s="535"/>
      <c r="Z128" s="535"/>
      <c r="AA128" s="535"/>
      <c r="AB128" s="535"/>
      <c r="AC128" s="535"/>
      <c r="AD128" s="535"/>
      <c r="AE128" s="535"/>
      <c r="AF128" s="535"/>
      <c r="AG128" s="535"/>
      <c r="AH128" s="535"/>
      <c r="AI128" s="600"/>
      <c r="AJ128" s="600"/>
      <c r="AK128" s="600"/>
      <c r="AL128" s="600"/>
      <c r="AM128" s="535"/>
      <c r="AN128" s="535"/>
      <c r="AO128" s="535"/>
      <c r="AP128" s="601">
        <v>40000</v>
      </c>
      <c r="AQ128" s="602"/>
      <c r="AR128" s="535"/>
      <c r="AS128" s="601"/>
      <c r="AT128" s="535"/>
      <c r="AU128" s="579">
        <f>SUM(AP128,AS128)</f>
        <v>40000</v>
      </c>
      <c r="AV128" s="603"/>
      <c r="AW128" s="603"/>
      <c r="AX128" s="603"/>
      <c r="AY128" s="535"/>
      <c r="AZ128" s="535"/>
      <c r="BA128" s="535"/>
      <c r="BB128" s="535"/>
      <c r="BC128" s="535"/>
      <c r="BD128" s="535"/>
      <c r="BE128" s="535"/>
      <c r="BF128" s="535"/>
      <c r="BG128" s="535"/>
      <c r="BH128" s="535"/>
      <c r="BI128" s="535"/>
      <c r="BJ128" s="535"/>
      <c r="BK128" s="535"/>
      <c r="BL128" s="535"/>
      <c r="BM128" s="535"/>
      <c r="BN128" s="535"/>
      <c r="BO128" s="535"/>
      <c r="BP128" s="535"/>
      <c r="BQ128" s="535"/>
      <c r="BR128" s="535"/>
      <c r="BS128" s="535"/>
      <c r="BT128" s="535"/>
      <c r="BU128" s="535"/>
      <c r="BV128" s="535"/>
      <c r="BW128" s="535"/>
      <c r="BX128" s="535"/>
      <c r="BY128" s="540"/>
      <c r="DW128" s="432"/>
    </row>
    <row r="129" spans="3:127" ht="30.75" customHeight="1">
      <c r="C129" s="1133"/>
      <c r="D129" s="1133"/>
      <c r="AI129" s="428"/>
      <c r="AJ129" s="428"/>
      <c r="AK129" s="428"/>
      <c r="AL129" s="428"/>
      <c r="DW129" s="432"/>
    </row>
    <row r="130" spans="35:127" ht="12.75">
      <c r="AI130" s="428"/>
      <c r="AJ130" s="428"/>
      <c r="AK130" s="428"/>
      <c r="AL130" s="428"/>
      <c r="DW130" s="432"/>
    </row>
    <row r="131" spans="35:127" ht="12.75">
      <c r="AI131" s="428"/>
      <c r="AJ131" s="428"/>
      <c r="AK131" s="428"/>
      <c r="AL131" s="428"/>
      <c r="DW131" s="432"/>
    </row>
    <row r="132" spans="35:127" ht="12.75">
      <c r="AI132" s="428"/>
      <c r="AJ132" s="428"/>
      <c r="AK132" s="428"/>
      <c r="AL132" s="428"/>
      <c r="DW132" s="568"/>
    </row>
    <row r="133" spans="35:127" ht="12.75">
      <c r="AI133" s="428"/>
      <c r="AJ133" s="428"/>
      <c r="AK133" s="428"/>
      <c r="AL133" s="428"/>
      <c r="DW133" s="568"/>
    </row>
    <row r="134" spans="35:127" ht="12.75">
      <c r="AI134" s="428"/>
      <c r="AJ134" s="428"/>
      <c r="AK134" s="428"/>
      <c r="AL134" s="428"/>
      <c r="DW134" s="568"/>
    </row>
    <row r="135" spans="35:127" ht="12.75">
      <c r="AI135" s="428"/>
      <c r="AJ135" s="428"/>
      <c r="AK135" s="428"/>
      <c r="AL135" s="428"/>
      <c r="DW135" s="568"/>
    </row>
    <row r="136" spans="35:127" ht="12.75">
      <c r="AI136" s="428"/>
      <c r="AJ136" s="428"/>
      <c r="AK136" s="428"/>
      <c r="AL136" s="428"/>
      <c r="DW136" s="568"/>
    </row>
    <row r="137" spans="35:127" ht="12.75">
      <c r="AI137" s="428"/>
      <c r="AJ137" s="428"/>
      <c r="AK137" s="428"/>
      <c r="AL137" s="428"/>
      <c r="DW137" s="568"/>
    </row>
    <row r="138" spans="35:127" ht="12.75">
      <c r="AI138" s="428"/>
      <c r="AJ138" s="428"/>
      <c r="AK138" s="428"/>
      <c r="AL138" s="428"/>
      <c r="DW138" s="568"/>
    </row>
    <row r="139" spans="35:38" ht="12.75">
      <c r="AI139" s="428"/>
      <c r="AJ139" s="428"/>
      <c r="AK139" s="428"/>
      <c r="AL139" s="428"/>
    </row>
    <row r="140" spans="35:38" ht="12.75">
      <c r="AI140" s="428"/>
      <c r="AJ140" s="428"/>
      <c r="AK140" s="428"/>
      <c r="AL140" s="428"/>
    </row>
    <row r="141" spans="35:38" ht="12.75">
      <c r="AI141" s="428"/>
      <c r="AJ141" s="428"/>
      <c r="AK141" s="428"/>
      <c r="AL141" s="428"/>
    </row>
    <row r="142" spans="35:38" ht="12.75">
      <c r="AI142" s="428"/>
      <c r="AJ142" s="428"/>
      <c r="AK142" s="428"/>
      <c r="AL142" s="428"/>
    </row>
    <row r="143" spans="35:38" ht="12.75">
      <c r="AI143" s="428"/>
      <c r="AJ143" s="428"/>
      <c r="AK143" s="428"/>
      <c r="AL143" s="428"/>
    </row>
    <row r="144" spans="35:38" ht="12.75">
      <c r="AI144" s="428"/>
      <c r="AJ144" s="428"/>
      <c r="AK144" s="428"/>
      <c r="AL144" s="428"/>
    </row>
    <row r="145" spans="35:38" ht="12.75">
      <c r="AI145" s="428"/>
      <c r="AJ145" s="428"/>
      <c r="AK145" s="428"/>
      <c r="AL145" s="428"/>
    </row>
    <row r="146" spans="35:38" ht="12.75">
      <c r="AI146" s="428"/>
      <c r="AJ146" s="428"/>
      <c r="AK146" s="428"/>
      <c r="AL146" s="428"/>
    </row>
    <row r="147" spans="35:38" ht="12.75">
      <c r="AI147" s="428"/>
      <c r="AJ147" s="428"/>
      <c r="AK147" s="428"/>
      <c r="AL147" s="428"/>
    </row>
    <row r="148" spans="35:38" ht="12.75">
      <c r="AI148" s="428"/>
      <c r="AJ148" s="428"/>
      <c r="AK148" s="428"/>
      <c r="AL148" s="428"/>
    </row>
    <row r="149" spans="35:38" ht="12.75">
      <c r="AI149" s="428"/>
      <c r="AJ149" s="428"/>
      <c r="AK149" s="428"/>
      <c r="AL149" s="428"/>
    </row>
    <row r="150" spans="35:38" ht="12.75">
      <c r="AI150" s="428"/>
      <c r="AJ150" s="428"/>
      <c r="AK150" s="428"/>
      <c r="AL150" s="428"/>
    </row>
    <row r="151" spans="35:37" ht="12.75">
      <c r="AI151" s="428"/>
      <c r="AJ151" s="428"/>
      <c r="AK151" s="428"/>
    </row>
    <row r="152" spans="35:37" ht="12.75">
      <c r="AI152" s="428"/>
      <c r="AJ152" s="428"/>
      <c r="AK152" s="428"/>
    </row>
    <row r="153" spans="35:37" ht="12.75">
      <c r="AI153" s="428"/>
      <c r="AJ153" s="428"/>
      <c r="AK153" s="428"/>
    </row>
  </sheetData>
  <sheetProtection/>
  <mergeCells count="211">
    <mergeCell ref="AA17:AA18"/>
    <mergeCell ref="AD17:AD18"/>
    <mergeCell ref="AE17:AE18"/>
    <mergeCell ref="C20:D20"/>
    <mergeCell ref="AB17:AB18"/>
    <mergeCell ref="T17:T18"/>
    <mergeCell ref="U17:U18"/>
    <mergeCell ref="W17:W18"/>
    <mergeCell ref="R17:R18"/>
    <mergeCell ref="V17:V18"/>
    <mergeCell ref="AX17:AX18"/>
    <mergeCell ref="AY17:AY18"/>
    <mergeCell ref="BB17:BB18"/>
    <mergeCell ref="BJ17:BJ18"/>
    <mergeCell ref="BZ8:BZ18"/>
    <mergeCell ref="CA8:CA18"/>
    <mergeCell ref="C126:D126"/>
    <mergeCell ref="AH9:AH13"/>
    <mergeCell ref="K11:L13"/>
    <mergeCell ref="BC17:BC18"/>
    <mergeCell ref="BI17:BI18"/>
    <mergeCell ref="BD17:BD18"/>
    <mergeCell ref="BH17:BH18"/>
    <mergeCell ref="BI9:BI16"/>
    <mergeCell ref="DW16:DW18"/>
    <mergeCell ref="C94:D94"/>
    <mergeCell ref="C119:D119"/>
    <mergeCell ref="C101:D101"/>
    <mergeCell ref="BV17:BV18"/>
    <mergeCell ref="BY17:BY18"/>
    <mergeCell ref="BU17:BU18"/>
    <mergeCell ref="BW17:BW18"/>
    <mergeCell ref="BX17:BX18"/>
    <mergeCell ref="AI17:AI18"/>
    <mergeCell ref="BY1:BY7"/>
    <mergeCell ref="BX1:BX7"/>
    <mergeCell ref="BW1:BW7"/>
    <mergeCell ref="BY8:BY16"/>
    <mergeCell ref="BW9:BW16"/>
    <mergeCell ref="BU8:BW8"/>
    <mergeCell ref="BX8:BX16"/>
    <mergeCell ref="BU9:BU13"/>
    <mergeCell ref="BV9:BV13"/>
    <mergeCell ref="A3:E3"/>
    <mergeCell ref="F3:S3"/>
    <mergeCell ref="P6:S6"/>
    <mergeCell ref="AJ1:AJ7"/>
    <mergeCell ref="A2:D2"/>
    <mergeCell ref="J6:K6"/>
    <mergeCell ref="J5:K5"/>
    <mergeCell ref="M5:O5"/>
    <mergeCell ref="M6:O6"/>
    <mergeCell ref="AL1:AL7"/>
    <mergeCell ref="AU1:AU7"/>
    <mergeCell ref="P5:S5"/>
    <mergeCell ref="G17:G18"/>
    <mergeCell ref="AL17:AL18"/>
    <mergeCell ref="AC1:AC7"/>
    <mergeCell ref="AJ9:AJ16"/>
    <mergeCell ref="AJ17:AJ18"/>
    <mergeCell ref="AG9:AG13"/>
    <mergeCell ref="AH17:AH18"/>
    <mergeCell ref="A15:A18"/>
    <mergeCell ref="B15:B18"/>
    <mergeCell ref="AB1:AB7"/>
    <mergeCell ref="E9:E13"/>
    <mergeCell ref="F9:F13"/>
    <mergeCell ref="I9:I13"/>
    <mergeCell ref="K9:K10"/>
    <mergeCell ref="H17:H18"/>
    <mergeCell ref="A1:D1"/>
    <mergeCell ref="E17:E18"/>
    <mergeCell ref="BT17:BT18"/>
    <mergeCell ref="BO17:BO18"/>
    <mergeCell ref="BS17:BS18"/>
    <mergeCell ref="BN17:BN18"/>
    <mergeCell ref="BR17:BR18"/>
    <mergeCell ref="BO8:BT8"/>
    <mergeCell ref="BT9:BT16"/>
    <mergeCell ref="BO9:BO13"/>
    <mergeCell ref="BS9:BS13"/>
    <mergeCell ref="BR9:BR13"/>
    <mergeCell ref="AX9:AX16"/>
    <mergeCell ref="AP9:AR10"/>
    <mergeCell ref="BD8:BI8"/>
    <mergeCell ref="BJ8:BN8"/>
    <mergeCell ref="BN9:BN16"/>
    <mergeCell ref="BJ9:BJ13"/>
    <mergeCell ref="BD9:BD13"/>
    <mergeCell ref="BM9:BM13"/>
    <mergeCell ref="AP11:AP13"/>
    <mergeCell ref="AR11:AR13"/>
    <mergeCell ref="AK17:AK18"/>
    <mergeCell ref="AC17:AC18"/>
    <mergeCell ref="AG17:AG18"/>
    <mergeCell ref="AF17:AF18"/>
    <mergeCell ref="C25:D25"/>
    <mergeCell ref="P17:P18"/>
    <mergeCell ref="L17:L18"/>
    <mergeCell ref="J17:J18"/>
    <mergeCell ref="M17:M18"/>
    <mergeCell ref="C23:D23"/>
    <mergeCell ref="K17:K18"/>
    <mergeCell ref="AP8:AU8"/>
    <mergeCell ref="AE9:AF10"/>
    <mergeCell ref="AE11:AE13"/>
    <mergeCell ref="AF11:AF13"/>
    <mergeCell ref="AM9:AM13"/>
    <mergeCell ref="AN9:AN13"/>
    <mergeCell ref="AM8:AO8"/>
    <mergeCell ref="AO9:AO16"/>
    <mergeCell ref="AD8:AJ8"/>
    <mergeCell ref="AK8:AL8"/>
    <mergeCell ref="C96:D96"/>
    <mergeCell ref="C99:D99"/>
    <mergeCell ref="C105:D105"/>
    <mergeCell ref="C121:D121"/>
    <mergeCell ref="C103:D104"/>
    <mergeCell ref="N11:Q13"/>
    <mergeCell ref="N9:N10"/>
    <mergeCell ref="S9:S10"/>
    <mergeCell ref="C124:D124"/>
    <mergeCell ref="C17:C18"/>
    <mergeCell ref="D17:D18"/>
    <mergeCell ref="C9:D13"/>
    <mergeCell ref="C14:D14"/>
    <mergeCell ref="C15:D15"/>
    <mergeCell ref="C16:D16"/>
    <mergeCell ref="Y17:Y18"/>
    <mergeCell ref="W11:X13"/>
    <mergeCell ref="S17:S18"/>
    <mergeCell ref="X17:X18"/>
    <mergeCell ref="Q9:Q10"/>
    <mergeCell ref="L9:L10"/>
    <mergeCell ref="O9:O10"/>
    <mergeCell ref="P9:P10"/>
    <mergeCell ref="C8:D8"/>
    <mergeCell ref="B5:C5"/>
    <mergeCell ref="B6:C6"/>
    <mergeCell ref="E5:I5"/>
    <mergeCell ref="E6:I6"/>
    <mergeCell ref="E8:AC8"/>
    <mergeCell ref="AC9:AC16"/>
    <mergeCell ref="AL9:AL16"/>
    <mergeCell ref="AI9:AI13"/>
    <mergeCell ref="AK9:AK13"/>
    <mergeCell ref="AY9:AY13"/>
    <mergeCell ref="U9:U10"/>
    <mergeCell ref="S11:U13"/>
    <mergeCell ref="T9:T10"/>
    <mergeCell ref="X9:X10"/>
    <mergeCell ref="W9:W10"/>
    <mergeCell ref="Z9:Z13"/>
    <mergeCell ref="AD9:AD13"/>
    <mergeCell ref="AA9:AA13"/>
    <mergeCell ref="AB9:AB16"/>
    <mergeCell ref="BB9:BB13"/>
    <mergeCell ref="AT11:AT13"/>
    <mergeCell ref="BT1:BT7"/>
    <mergeCell ref="BH9:BH13"/>
    <mergeCell ref="AU9:AU16"/>
    <mergeCell ref="AV9:AV13"/>
    <mergeCell ref="AY8:BC8"/>
    <mergeCell ref="BC9:BC16"/>
    <mergeCell ref="AV8:AX8"/>
    <mergeCell ref="AS9:AT10"/>
    <mergeCell ref="AO1:AO7"/>
    <mergeCell ref="AX1:AX7"/>
    <mergeCell ref="BC1:BC7"/>
    <mergeCell ref="BN1:BN7"/>
    <mergeCell ref="BI1:BI7"/>
    <mergeCell ref="AO17:AO18"/>
    <mergeCell ref="AP17:AP18"/>
    <mergeCell ref="AR17:AR18"/>
    <mergeCell ref="AS17:AS18"/>
    <mergeCell ref="AQ17:AQ18"/>
    <mergeCell ref="C128:D129"/>
    <mergeCell ref="AM17:AM18"/>
    <mergeCell ref="AN17:AN18"/>
    <mergeCell ref="AV17:AV18"/>
    <mergeCell ref="F17:F18"/>
    <mergeCell ref="I17:I18"/>
    <mergeCell ref="O17:O18"/>
    <mergeCell ref="N17:N18"/>
    <mergeCell ref="Z17:Z18"/>
    <mergeCell ref="Q17:Q18"/>
    <mergeCell ref="AQ11:AQ13"/>
    <mergeCell ref="AZ17:AZ18"/>
    <mergeCell ref="BA17:BA18"/>
    <mergeCell ref="AZ9:AZ13"/>
    <mergeCell ref="BA9:BA13"/>
    <mergeCell ref="AW17:AW18"/>
    <mergeCell ref="AT17:AT18"/>
    <mergeCell ref="AU17:AU18"/>
    <mergeCell ref="AW9:AW13"/>
    <mergeCell ref="AS11:AS13"/>
    <mergeCell ref="BE9:BE13"/>
    <mergeCell ref="BF9:BF13"/>
    <mergeCell ref="BG9:BG13"/>
    <mergeCell ref="BE17:BE18"/>
    <mergeCell ref="BF17:BF18"/>
    <mergeCell ref="BG17:BG18"/>
    <mergeCell ref="BK9:BK13"/>
    <mergeCell ref="BL9:BL13"/>
    <mergeCell ref="BP17:BP18"/>
    <mergeCell ref="BQ17:BQ18"/>
    <mergeCell ref="BP9:BP13"/>
    <mergeCell ref="BQ9:BQ13"/>
    <mergeCell ref="BM17:BM18"/>
    <mergeCell ref="BK17:BK18"/>
    <mergeCell ref="BL17:BL18"/>
  </mergeCells>
  <conditionalFormatting sqref="I6">
    <cfRule type="expression" priority="1" dxfId="1" stopIfTrue="1">
      <formula>LEFT(EB6,1)="E"</formula>
    </cfRule>
  </conditionalFormatting>
  <conditionalFormatting sqref="AC122 AC97 AC101 AC126 AC23 AC21 AC106:AC117 AC26:AC92">
    <cfRule type="expression" priority="2" dxfId="0" stopIfTrue="1">
      <formula>AND(LEFT(DZ21,1)="E",AC21="")</formula>
    </cfRule>
    <cfRule type="expression" priority="3" dxfId="1" stopIfTrue="1">
      <formula>LEFT(DZ21,1)="E"</formula>
    </cfRule>
    <cfRule type="expression" priority="4" dxfId="2" stopIfTrue="1">
      <formula>LEFT(DZ21,1)="W"</formula>
    </cfRule>
  </conditionalFormatting>
  <conditionalFormatting sqref="AJ122 AJ97 AJ23 AJ101 AJ126 AJ21 AJ106:AJ117 AJ26:AJ92">
    <cfRule type="expression" priority="5" dxfId="0" stopIfTrue="1">
      <formula>AND(LEFT(EA21,1)="E",AJ21="")</formula>
    </cfRule>
    <cfRule type="expression" priority="6" dxfId="1" stopIfTrue="1">
      <formula>LEFT(EA21,1)="E"</formula>
    </cfRule>
    <cfRule type="expression" priority="7" dxfId="2" stopIfTrue="1">
      <formula>LEFT(EA21,1)="W"</formula>
    </cfRule>
  </conditionalFormatting>
  <conditionalFormatting sqref="BT23 BT97 BT101 BT122 BT126 BT21 BT106:BT117 BT26:BT92">
    <cfRule type="expression" priority="8" dxfId="0" stopIfTrue="1">
      <formula>AND(LEFT(EI21,1)="E",BT21="")</formula>
    </cfRule>
    <cfRule type="expression" priority="9" dxfId="1" stopIfTrue="1">
      <formula>LEFT(EI21,1)="E"</formula>
    </cfRule>
    <cfRule type="expression" priority="10" dxfId="2" stopIfTrue="1">
      <formula>LEFT(EI21,1)="W"</formula>
    </cfRule>
  </conditionalFormatting>
  <conditionalFormatting sqref="A1:D1">
    <cfRule type="expression" priority="11" dxfId="3" stopIfTrue="1">
      <formula>EO1&lt;&gt;0</formula>
    </cfRule>
    <cfRule type="expression" priority="12" dxfId="4" stopIfTrue="1">
      <formula>EO1=0</formula>
    </cfRule>
  </conditionalFormatting>
  <conditionalFormatting sqref="C97:D97 C122:D122 C21:D21 C106:D117 C26:D92">
    <cfRule type="expression" priority="13" dxfId="1" stopIfTrue="1">
      <formula>LEFT(DX21,1)="E"</formula>
    </cfRule>
    <cfRule type="expression" priority="14" dxfId="2" stopIfTrue="1">
      <formula>LEFT(DX21,1)="W"</formula>
    </cfRule>
  </conditionalFormatting>
  <conditionalFormatting sqref="AL122 AL126 AL106:AL117">
    <cfRule type="expression" priority="15" dxfId="0" stopIfTrue="1">
      <formula>AND(LEFT(EB106,1)="E",AL106="")</formula>
    </cfRule>
    <cfRule type="expression" priority="16" dxfId="1" stopIfTrue="1">
      <formula>LEFT(EB106,1)="E"</formula>
    </cfRule>
    <cfRule type="expression" priority="17" dxfId="2" stopIfTrue="1">
      <formula>LEFT(EB106,1)="W"</formula>
    </cfRule>
  </conditionalFormatting>
  <conditionalFormatting sqref="AB126 AB97 AB101 AB122 AB23 AB21 AB106:AB117 AB26:AB92">
    <cfRule type="expression" priority="18" dxfId="0" stopIfTrue="1">
      <formula>AND(LEFT(EM21,1)="E",AB21="")</formula>
    </cfRule>
    <cfRule type="expression" priority="19" dxfId="1" stopIfTrue="1">
      <formula>LEFT(EM21,1)="E"</formula>
    </cfRule>
    <cfRule type="expression" priority="20" dxfId="2" stopIfTrue="1">
      <formula>LEFT(EM21,1)="W"</formula>
    </cfRule>
  </conditionalFormatting>
  <conditionalFormatting sqref="AO126 AO97 AO101 AO122 AO23 AO21 AO106:AO117 AO26:AO92">
    <cfRule type="expression" priority="21" dxfId="0" stopIfTrue="1">
      <formula>AND(LEFT(EC21,1)="E",AO21="")</formula>
    </cfRule>
    <cfRule type="expression" priority="22" dxfId="1" stopIfTrue="1">
      <formula>LEFT(EC21,1)="E"</formula>
    </cfRule>
    <cfRule type="expression" priority="23" dxfId="2" stopIfTrue="1">
      <formula>LEFT(EC21,1)="W"</formula>
    </cfRule>
  </conditionalFormatting>
  <conditionalFormatting sqref="AU23 AU97 AU101 AU122 AU126 AU21 AU106:AU117 AU26:AU92">
    <cfRule type="expression" priority="24" dxfId="0" stopIfTrue="1">
      <formula>AND(LEFT(ED21,1)="E",AU21="")</formula>
    </cfRule>
    <cfRule type="expression" priority="25" dxfId="1" stopIfTrue="1">
      <formula>LEFT(ED21,1)="E"</formula>
    </cfRule>
    <cfRule type="expression" priority="26" dxfId="2" stopIfTrue="1">
      <formula>LEFT(ED21,1)="W"</formula>
    </cfRule>
  </conditionalFormatting>
  <conditionalFormatting sqref="AX23 AX97 AX101 AX122 AX126 AX21 AX106:AX117 AX26:AX92">
    <cfRule type="expression" priority="27" dxfId="0" stopIfTrue="1">
      <formula>AND(LEFT(EE21,1)="E",AX21="")</formula>
    </cfRule>
    <cfRule type="expression" priority="28" dxfId="1" stopIfTrue="1">
      <formula>LEFT(EE21,1)="E"</formula>
    </cfRule>
    <cfRule type="expression" priority="29" dxfId="2" stopIfTrue="1">
      <formula>LEFT(EE21,1)="W"</formula>
    </cfRule>
  </conditionalFormatting>
  <conditionalFormatting sqref="BC23 BC97 BC101 BC122 BC126 BC21 BC106:BC117 BC26:BC92">
    <cfRule type="expression" priority="30" dxfId="0" stopIfTrue="1">
      <formula>AND(LEFT(EF21,1)="E",BC21="")</formula>
    </cfRule>
    <cfRule type="expression" priority="31" dxfId="1" stopIfTrue="1">
      <formula>LEFT(EF21,1)="E"</formula>
    </cfRule>
    <cfRule type="expression" priority="32" dxfId="2" stopIfTrue="1">
      <formula>LEFT(EF21,1)="W"</formula>
    </cfRule>
  </conditionalFormatting>
  <conditionalFormatting sqref="BI23 BI97 BI101 BI122 BI126 BI21 BI106:BI117 BI26:BI92">
    <cfRule type="expression" priority="33" dxfId="0" stopIfTrue="1">
      <formula>AND(LEFT(EG21,1)="E",BI21="")</formula>
    </cfRule>
    <cfRule type="expression" priority="34" dxfId="1" stopIfTrue="1">
      <formula>LEFT(EG21,1)="E"</formula>
    </cfRule>
    <cfRule type="expression" priority="35" dxfId="2" stopIfTrue="1">
      <formula>LEFT(EG21,1)="W"</formula>
    </cfRule>
  </conditionalFormatting>
  <conditionalFormatting sqref="BN23 BN97 BN101 BN122 BN126 BN21 BN106:BN117 BN26:BN92">
    <cfRule type="expression" priority="36" dxfId="0" stopIfTrue="1">
      <formula>AND(LEFT(EH21,1)="E",BN21="")</formula>
    </cfRule>
    <cfRule type="expression" priority="37" dxfId="1" stopIfTrue="1">
      <formula>LEFT(EH21,1)="E"</formula>
    </cfRule>
    <cfRule type="expression" priority="38" dxfId="2" stopIfTrue="1">
      <formula>LEFT(EH21,1)="W"</formula>
    </cfRule>
  </conditionalFormatting>
  <conditionalFormatting sqref="BW23:BY23 BW97:BY97 BW101:BY101 BW122:BY122 BW126:BY126 BW21:BY21 BW106:BY117 BW26:BY92">
    <cfRule type="expression" priority="39" dxfId="0" stopIfTrue="1">
      <formula>AND(LEFT(EJ21,1)="E",BW21="")</formula>
    </cfRule>
    <cfRule type="expression" priority="40" dxfId="1" stopIfTrue="1">
      <formula>LEFT(EJ21,1)="E"</formula>
    </cfRule>
    <cfRule type="expression" priority="41" dxfId="2" stopIfTrue="1">
      <formula>LEFT(EJ21,1)="W"</formula>
    </cfRule>
  </conditionalFormatting>
  <conditionalFormatting sqref="A6">
    <cfRule type="expression" priority="42" dxfId="1" stopIfTrue="1">
      <formula>LEFT(DX6,1)="E"</formula>
    </cfRule>
  </conditionalFormatting>
  <conditionalFormatting sqref="B6:D6">
    <cfRule type="expression" priority="43" dxfId="1" stopIfTrue="1">
      <formula>LEFT(DX6,1)="E"</formula>
    </cfRule>
  </conditionalFormatting>
  <conditionalFormatting sqref="E6:G6">
    <cfRule type="expression" priority="44" dxfId="1" stopIfTrue="1">
      <formula>LEFT(DZ6,1)="E"</formula>
    </cfRule>
  </conditionalFormatting>
  <conditionalFormatting sqref="H6">
    <cfRule type="expression" priority="45" dxfId="1" stopIfTrue="1">
      <formula>LEFT(EB6,1)="E"</formula>
    </cfRule>
  </conditionalFormatting>
  <conditionalFormatting sqref="L6">
    <cfRule type="expression" priority="46" dxfId="2" stopIfTrue="1">
      <formula>LEFT(ED6,1)="W"</formula>
    </cfRule>
  </conditionalFormatting>
  <conditionalFormatting sqref="P5:R5">
    <cfRule type="expression" priority="47" dxfId="1" stopIfTrue="1">
      <formula>LEFT(EG5,1)="E"</formula>
    </cfRule>
  </conditionalFormatting>
  <conditionalFormatting sqref="S5">
    <cfRule type="expression" priority="48" dxfId="1" stopIfTrue="1">
      <formula>LEFT(EI5,1)="E"</formula>
    </cfRule>
  </conditionalFormatting>
  <conditionalFormatting sqref="P6:R6">
    <cfRule type="expression" priority="49" dxfId="2" stopIfTrue="1">
      <formula>LEFT(EG6,1)="W"</formula>
    </cfRule>
  </conditionalFormatting>
  <conditionalFormatting sqref="S6">
    <cfRule type="expression" priority="50" dxfId="2" stopIfTrue="1">
      <formula>LEFT(EI6,1)="W"</formula>
    </cfRule>
  </conditionalFormatting>
  <conditionalFormatting sqref="AA119 AA106:AA117">
    <cfRule type="expression" priority="51" dxfId="1" stopIfTrue="1">
      <formula>LEFT(EN106,1)="E"</formula>
    </cfRule>
    <cfRule type="expression" priority="52" dxfId="2" stopIfTrue="1">
      <formula>LEFT(EN106,1)="W"</formula>
    </cfRule>
  </conditionalFormatting>
  <conditionalFormatting sqref="AA122 AA124">
    <cfRule type="expression" priority="53" dxfId="1" stopIfTrue="1">
      <formula>LEFT(EN122,1)="E"</formula>
    </cfRule>
    <cfRule type="expression" priority="54" dxfId="2" stopIfTrue="1">
      <formula>LEFT(EN122,1)="W"</formula>
    </cfRule>
  </conditionalFormatting>
  <conditionalFormatting sqref="Z126">
    <cfRule type="expression" priority="55" dxfId="1" stopIfTrue="1">
      <formula>LEFT(EN126,1)="E"</formula>
    </cfRule>
    <cfRule type="expression" priority="56" dxfId="2" stopIfTrue="1">
      <formula>LEFT(EN126,1)="W"</formula>
    </cfRule>
  </conditionalFormatting>
  <conditionalFormatting sqref="A21">
    <cfRule type="expression" priority="57" dxfId="0" stopIfTrue="1">
      <formula>AND(LEFT(DW21,1)="E",A21="")</formula>
    </cfRule>
    <cfRule type="expression" priority="58" dxfId="1" stopIfTrue="1">
      <formula>LEFT(DW21,1)="E"</formula>
    </cfRule>
    <cfRule type="expression" priority="59" dxfId="2" stopIfTrue="1">
      <formula>LEFT(DW21,1)="E"</formula>
    </cfRule>
  </conditionalFormatting>
  <dataValidations count="1">
    <dataValidation type="list" allowBlank="1" showInputMessage="1" showErrorMessage="1" sqref="A21">
      <formula1>"Place-Led,Pupil-Led"</formula1>
    </dataValidation>
  </dataValidations>
  <printOptions/>
  <pageMargins left="0.18" right="0.17" top="0.26" bottom="0.27" header="0.17" footer="0.17"/>
  <pageSetup horizontalDpi="600" verticalDpi="600" orientation="landscape" paperSize="9" scale="80" r:id="rId2"/>
  <rowBreaks count="1" manualBreakCount="1">
    <brk id="104" max="79" man="1"/>
  </rowBreaks>
  <drawing r:id="rId1"/>
</worksheet>
</file>

<file path=xl/worksheets/sheet5.xml><?xml version="1.0" encoding="utf-8"?>
<worksheet xmlns="http://schemas.openxmlformats.org/spreadsheetml/2006/main" xmlns:r="http://schemas.openxmlformats.org/officeDocument/2006/relationships">
  <sheetPr codeName="Sheet8"/>
  <dimension ref="A1:DU26"/>
  <sheetViews>
    <sheetView showGridLines="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2.75"/>
  <cols>
    <col min="2" max="2" width="27.7109375" style="0" customWidth="1"/>
    <col min="4" max="4" width="10.140625" style="0" customWidth="1"/>
    <col min="7" max="7" width="10.7109375" style="0" customWidth="1"/>
    <col min="8" max="8" width="9.7109375" style="0" customWidth="1"/>
    <col min="15" max="15" width="17.421875" style="0" bestFit="1" customWidth="1"/>
    <col min="17" max="23" width="9.57421875" style="0" customWidth="1"/>
    <col min="31" max="31" width="9.7109375" style="0" customWidth="1"/>
    <col min="33" max="33" width="11.140625" style="0" customWidth="1"/>
    <col min="34" max="34" width="10.140625" style="0" customWidth="1"/>
    <col min="35" max="35" width="9.8515625" style="0" customWidth="1"/>
    <col min="36" max="36" width="10.140625" style="1" hidden="1" customWidth="1"/>
    <col min="37" max="37" width="9.8515625" style="0" hidden="1" customWidth="1"/>
    <col min="39" max="39" width="10.7109375" style="0" bestFit="1" customWidth="1"/>
    <col min="91" max="116" width="4.7109375" style="0" customWidth="1"/>
  </cols>
  <sheetData>
    <row r="1" spans="1:113" ht="34.5" customHeight="1">
      <c r="A1" s="1223" t="str">
        <f>IF(DI1&lt;&gt;0,"ERRORS/WARNINGS ARE PRESENT","NO ERRORS/WARNINGS")</f>
        <v>ERRORS/WARNINGS ARE PRESENT</v>
      </c>
      <c r="B1" s="1223"/>
      <c r="C1" s="1223"/>
      <c r="D1" s="1223"/>
      <c r="G1" s="428"/>
      <c r="H1" s="428"/>
      <c r="N1" s="1137" t="s">
        <v>380</v>
      </c>
      <c r="O1" s="1137" t="s">
        <v>380</v>
      </c>
      <c r="Q1" s="1137" t="s">
        <v>380</v>
      </c>
      <c r="R1" s="429"/>
      <c r="S1" s="1137" t="s">
        <v>380</v>
      </c>
      <c r="T1" s="429"/>
      <c r="U1" s="429"/>
      <c r="V1" s="429"/>
      <c r="W1" s="1137" t="s">
        <v>380</v>
      </c>
      <c r="AA1" s="1137" t="s">
        <v>380</v>
      </c>
      <c r="AE1" s="1137" t="s">
        <v>380</v>
      </c>
      <c r="AG1" s="1137" t="s">
        <v>380</v>
      </c>
      <c r="AH1" s="1137" t="s">
        <v>380</v>
      </c>
      <c r="AI1" s="1137" t="s">
        <v>380</v>
      </c>
      <c r="AJ1" s="430"/>
      <c r="AK1" s="431"/>
      <c r="DG1" s="432"/>
      <c r="DH1" s="433"/>
      <c r="DI1" s="434">
        <f>SUM(DI5:DI25)</f>
        <v>1</v>
      </c>
    </row>
    <row r="2" spans="1:113" ht="34.5" customHeight="1" thickBot="1">
      <c r="A2" s="1203" t="s">
        <v>381</v>
      </c>
      <c r="B2" s="1203"/>
      <c r="C2" s="1203"/>
      <c r="D2" s="1203"/>
      <c r="N2" s="1137"/>
      <c r="O2" s="1137"/>
      <c r="Q2" s="1137"/>
      <c r="R2" s="429"/>
      <c r="S2" s="1137"/>
      <c r="T2" s="429"/>
      <c r="U2" s="429"/>
      <c r="V2" s="429"/>
      <c r="W2" s="1137"/>
      <c r="AA2" s="1137"/>
      <c r="AE2" s="1137"/>
      <c r="AG2" s="1137"/>
      <c r="AH2" s="1137"/>
      <c r="AI2" s="1137"/>
      <c r="AJ2" s="430"/>
      <c r="AK2" s="431"/>
      <c r="DG2" s="432"/>
      <c r="DH2" s="432"/>
      <c r="DI2" s="435"/>
    </row>
    <row r="3" spans="1:125" ht="13.5" thickBot="1">
      <c r="A3" s="1199" t="s">
        <v>382</v>
      </c>
      <c r="B3" s="1200"/>
      <c r="C3" s="1200"/>
      <c r="D3" s="1200"/>
      <c r="E3" s="1200"/>
      <c r="F3" s="1201" t="s">
        <v>383</v>
      </c>
      <c r="G3" s="1201"/>
      <c r="H3" s="1201"/>
      <c r="I3" s="1201"/>
      <c r="J3" s="1201"/>
      <c r="K3" s="1201"/>
      <c r="L3" s="1201"/>
      <c r="M3" s="1202"/>
      <c r="N3" s="1137"/>
      <c r="O3" s="1137"/>
      <c r="Q3" s="1137"/>
      <c r="R3" s="429"/>
      <c r="S3" s="1137"/>
      <c r="T3" s="429"/>
      <c r="U3" s="429"/>
      <c r="V3" s="429"/>
      <c r="W3" s="1137"/>
      <c r="AA3" s="1137"/>
      <c r="AE3" s="1137"/>
      <c r="AG3" s="1137"/>
      <c r="AH3" s="1137"/>
      <c r="AI3" s="1137"/>
      <c r="AJ3" s="430"/>
      <c r="AK3" s="431"/>
      <c r="CU3" s="436"/>
      <c r="CV3" s="436"/>
      <c r="CW3" s="436"/>
      <c r="CX3" s="436"/>
      <c r="CY3" s="436"/>
      <c r="CZ3" s="436"/>
      <c r="DA3" s="436"/>
      <c r="DB3" s="436"/>
      <c r="DC3" s="436"/>
      <c r="DD3" s="436"/>
      <c r="DE3" s="436"/>
      <c r="DF3" s="436"/>
      <c r="DG3" s="435"/>
      <c r="DH3" s="435"/>
      <c r="DI3" s="436"/>
      <c r="DJ3" s="436"/>
      <c r="DK3" s="436"/>
      <c r="DL3" s="436"/>
      <c r="DM3" s="436"/>
      <c r="DN3" s="436"/>
      <c r="DO3" s="436"/>
      <c r="DP3" s="436"/>
      <c r="DQ3" s="436"/>
      <c r="DR3" s="436"/>
      <c r="DS3" s="436"/>
      <c r="DT3" s="436"/>
      <c r="DU3" s="436"/>
    </row>
    <row r="4" spans="14:125" ht="13.5" thickBot="1">
      <c r="N4" s="1137"/>
      <c r="O4" s="1137"/>
      <c r="Q4" s="1137"/>
      <c r="R4" s="429"/>
      <c r="S4" s="1137"/>
      <c r="T4" s="429"/>
      <c r="U4" s="429"/>
      <c r="V4" s="429"/>
      <c r="W4" s="1137"/>
      <c r="AA4" s="1137"/>
      <c r="AE4" s="1137"/>
      <c r="AG4" s="1137"/>
      <c r="AH4" s="1137"/>
      <c r="AI4" s="1137"/>
      <c r="AJ4" s="430"/>
      <c r="AK4" s="431"/>
      <c r="CU4" s="436"/>
      <c r="CV4" s="436"/>
      <c r="CW4" s="436"/>
      <c r="CX4" s="436"/>
      <c r="CY4" s="436"/>
      <c r="CZ4" s="436"/>
      <c r="DA4" s="436"/>
      <c r="DB4" s="436"/>
      <c r="DC4" s="436"/>
      <c r="DD4" s="436"/>
      <c r="DE4" s="436"/>
      <c r="DF4" s="436"/>
      <c r="DG4" s="435"/>
      <c r="DH4" s="435"/>
      <c r="DI4" s="436"/>
      <c r="DJ4" s="436"/>
      <c r="DK4" s="436"/>
      <c r="DL4" s="436"/>
      <c r="DM4" s="436"/>
      <c r="DN4" s="436"/>
      <c r="DO4" s="436"/>
      <c r="DP4" s="436"/>
      <c r="DQ4" s="436"/>
      <c r="DR4" s="436"/>
      <c r="DS4" s="436"/>
      <c r="DT4" s="436"/>
      <c r="DU4" s="436"/>
    </row>
    <row r="5" spans="1:113" ht="36.75" thickBot="1">
      <c r="A5" s="437" t="s">
        <v>804</v>
      </c>
      <c r="B5" s="438" t="str">
        <f>IF('Table 3a'!B5="","",'Table 3a'!B5)</f>
        <v>2010-11</v>
      </c>
      <c r="C5" s="439" t="s">
        <v>806</v>
      </c>
      <c r="D5" s="1229" t="str">
        <f>IF('Table 3a'!E5="","",'Table 3a'!E5)</f>
        <v>Solihull</v>
      </c>
      <c r="E5" s="1230"/>
      <c r="F5" s="1231"/>
      <c r="G5" s="439" t="s">
        <v>808</v>
      </c>
      <c r="H5" s="440">
        <f>IF('Table 3a'!L5="","",'Table 3a'!L5)</f>
        <v>334</v>
      </c>
      <c r="I5" s="1232" t="s">
        <v>809</v>
      </c>
      <c r="J5" s="1233"/>
      <c r="K5" s="1229">
        <f>IF('Table 3a'!P5="","",'Table 3a'!P5)</f>
        <v>0</v>
      </c>
      <c r="L5" s="1230"/>
      <c r="M5" s="1231"/>
      <c r="N5" s="1137"/>
      <c r="O5" s="1137"/>
      <c r="Q5" s="1137"/>
      <c r="R5" s="429"/>
      <c r="S5" s="1137"/>
      <c r="T5" s="429"/>
      <c r="U5" s="429"/>
      <c r="V5" s="429"/>
      <c r="W5" s="1137"/>
      <c r="AA5" s="1137"/>
      <c r="AE5" s="1137"/>
      <c r="AG5" s="1137"/>
      <c r="AH5" s="1137"/>
      <c r="AI5" s="1137"/>
      <c r="AJ5" s="430"/>
      <c r="AK5" s="431"/>
      <c r="CU5" s="441" t="str">
        <f>A5</f>
        <v>Year</v>
      </c>
      <c r="CV5" s="441" t="str">
        <f>B5</f>
        <v>2010-11</v>
      </c>
      <c r="CW5" s="441" t="str">
        <f>C5</f>
        <v>Local Authority Name</v>
      </c>
      <c r="CX5" s="65" t="str">
        <f>D5</f>
        <v>Solihull</v>
      </c>
      <c r="CY5" s="66"/>
      <c r="CZ5" s="67"/>
      <c r="DA5" s="441" t="str">
        <f>G5</f>
        <v>Local Authority Number</v>
      </c>
      <c r="DB5" s="65">
        <f>H5</f>
        <v>334</v>
      </c>
      <c r="DC5" s="65" t="str">
        <f>I5</f>
        <v>Email Address</v>
      </c>
      <c r="DD5" s="67"/>
      <c r="DE5" s="442">
        <f>'Table 2'!BA5</f>
        <v>0</v>
      </c>
      <c r="DG5" s="432"/>
      <c r="DH5" s="433"/>
      <c r="DI5" s="434">
        <f>IF(LEN(TRIM(DE5))&gt;0,1,0)</f>
        <v>1</v>
      </c>
    </row>
    <row r="6" spans="1:113" ht="13.5" thickBot="1">
      <c r="A6" s="443" t="s">
        <v>810</v>
      </c>
      <c r="B6" s="444">
        <f>IF('Table 3a'!B6="","",'Table 3a'!B6)</f>
        <v>0</v>
      </c>
      <c r="C6" s="443" t="s">
        <v>811</v>
      </c>
      <c r="D6" s="1224" t="str">
        <f>IF('Table 3a'!E6="","",'Table 3a'!E6)</f>
        <v>0121-704-6692</v>
      </c>
      <c r="E6" s="1225"/>
      <c r="F6" s="1226"/>
      <c r="G6" s="445" t="s">
        <v>813</v>
      </c>
      <c r="H6" s="446">
        <v>4</v>
      </c>
      <c r="I6" s="1234" t="s">
        <v>814</v>
      </c>
      <c r="J6" s="1235"/>
      <c r="K6" s="1236" t="str">
        <f>IF('Table 3a'!P6="","",'Table 3a'!P6)</f>
        <v>28 July 2009</v>
      </c>
      <c r="L6" s="1237"/>
      <c r="M6" s="1238"/>
      <c r="N6" s="1137"/>
      <c r="O6" s="1137"/>
      <c r="Q6" s="1137"/>
      <c r="R6" s="429"/>
      <c r="S6" s="1137"/>
      <c r="T6" s="429"/>
      <c r="U6" s="429"/>
      <c r="V6" s="429"/>
      <c r="W6" s="1137"/>
      <c r="AA6" s="1137"/>
      <c r="AE6" s="1137"/>
      <c r="AG6" s="1137"/>
      <c r="AH6" s="1137"/>
      <c r="AI6" s="1137"/>
      <c r="AJ6" s="430"/>
      <c r="AK6" s="431"/>
      <c r="CU6" s="441" t="str">
        <f>A6</f>
        <v>Contact</v>
      </c>
      <c r="CV6" s="442">
        <f>'Table 2'!AR6</f>
      </c>
      <c r="CW6" s="441" t="str">
        <f>C6</f>
        <v>Tel No.</v>
      </c>
      <c r="CX6" s="447">
        <f>'Table 2'!AT6</f>
      </c>
      <c r="CY6" s="448"/>
      <c r="CZ6" s="449"/>
      <c r="DA6" s="441" t="str">
        <f>G6</f>
        <v>Version No.</v>
      </c>
      <c r="DB6" s="449">
        <f>'Table 2'!AX6</f>
      </c>
      <c r="DC6" s="65" t="str">
        <f>I6</f>
        <v>Completion Date</v>
      </c>
      <c r="DD6" s="67"/>
      <c r="DE6" s="450">
        <f>'Table 2'!BA6</f>
      </c>
      <c r="DG6" s="432"/>
      <c r="DH6" s="433"/>
      <c r="DI6" s="434">
        <f>IF(LEN(TRIM(CV6&amp;CX6&amp;DB6&amp;DE6))&gt;0,1,0)</f>
        <v>0</v>
      </c>
    </row>
    <row r="7" spans="2:112" ht="12.75">
      <c r="B7" s="451"/>
      <c r="C7" s="451"/>
      <c r="N7" s="1139"/>
      <c r="O7" s="1139"/>
      <c r="Q7" s="1139"/>
      <c r="R7" s="452"/>
      <c r="S7" s="1138"/>
      <c r="T7" s="453"/>
      <c r="U7" s="453"/>
      <c r="V7" s="453"/>
      <c r="W7" s="1139"/>
      <c r="AA7" s="1139"/>
      <c r="AE7" s="1139"/>
      <c r="AG7" s="1139"/>
      <c r="AH7" s="1138"/>
      <c r="AI7" s="1138"/>
      <c r="AJ7" s="430"/>
      <c r="AK7" s="431"/>
      <c r="DG7" s="432"/>
      <c r="DH7" s="432"/>
    </row>
    <row r="8" spans="2:112" s="454" customFormat="1" ht="29.25" customHeight="1">
      <c r="B8" s="1154" t="s">
        <v>384</v>
      </c>
      <c r="C8" s="1155"/>
      <c r="D8" s="1183" t="s">
        <v>385</v>
      </c>
      <c r="E8" s="1164"/>
      <c r="F8" s="1164"/>
      <c r="G8" s="1164"/>
      <c r="H8" s="1164"/>
      <c r="I8" s="1164"/>
      <c r="J8" s="1164"/>
      <c r="K8" s="1164"/>
      <c r="L8" s="1164"/>
      <c r="M8" s="1164"/>
      <c r="N8" s="1164"/>
      <c r="O8" s="1165"/>
      <c r="P8" s="1175" t="s">
        <v>386</v>
      </c>
      <c r="Q8" s="1165"/>
      <c r="R8" s="1240" t="s">
        <v>387</v>
      </c>
      <c r="S8" s="1241"/>
      <c r="T8" s="1240" t="s">
        <v>388</v>
      </c>
      <c r="U8" s="1241"/>
      <c r="V8" s="1241"/>
      <c r="W8" s="1147"/>
      <c r="X8" s="1243" t="s">
        <v>389</v>
      </c>
      <c r="Y8" s="1244"/>
      <c r="Z8" s="1244"/>
      <c r="AA8" s="1192"/>
      <c r="AB8" s="1243" t="s">
        <v>390</v>
      </c>
      <c r="AC8" s="1244"/>
      <c r="AD8" s="1244"/>
      <c r="AE8" s="1192"/>
      <c r="AF8" s="1175" t="s">
        <v>391</v>
      </c>
      <c r="AG8" s="1165"/>
      <c r="AH8" s="1211" t="s">
        <v>392</v>
      </c>
      <c r="AI8" s="1209" t="s">
        <v>393</v>
      </c>
      <c r="AJ8" s="1247" t="s">
        <v>394</v>
      </c>
      <c r="AK8" s="1245" t="s">
        <v>395</v>
      </c>
      <c r="DG8" s="455"/>
      <c r="DH8" s="455"/>
    </row>
    <row r="9" spans="2:37" s="27" customFormat="1" ht="12.75" customHeight="1">
      <c r="B9" s="1227" t="s">
        <v>396</v>
      </c>
      <c r="C9" s="1228"/>
      <c r="D9" s="1222" t="s">
        <v>288</v>
      </c>
      <c r="E9" s="1222" t="s">
        <v>289</v>
      </c>
      <c r="F9" s="1222" t="s">
        <v>290</v>
      </c>
      <c r="G9" s="1222" t="s">
        <v>291</v>
      </c>
      <c r="H9" s="1222" t="s">
        <v>292</v>
      </c>
      <c r="I9" s="1222" t="s">
        <v>293</v>
      </c>
      <c r="J9" s="1222" t="s">
        <v>294</v>
      </c>
      <c r="K9" s="1222" t="s">
        <v>295</v>
      </c>
      <c r="L9" s="1222" t="s">
        <v>296</v>
      </c>
      <c r="M9" s="1222" t="s">
        <v>297</v>
      </c>
      <c r="N9" s="1212" t="s">
        <v>397</v>
      </c>
      <c r="O9" s="1140" t="s">
        <v>398</v>
      </c>
      <c r="P9" s="1065"/>
      <c r="Q9" s="1140" t="s">
        <v>399</v>
      </c>
      <c r="R9" s="1065"/>
      <c r="S9" s="1193" t="s">
        <v>400</v>
      </c>
      <c r="T9" s="1065" t="s">
        <v>401</v>
      </c>
      <c r="U9" s="1065" t="s">
        <v>402</v>
      </c>
      <c r="V9" s="1065" t="s">
        <v>403</v>
      </c>
      <c r="W9" s="1239" t="s">
        <v>404</v>
      </c>
      <c r="X9" s="1065" t="s">
        <v>232</v>
      </c>
      <c r="Y9" s="1065" t="s">
        <v>405</v>
      </c>
      <c r="Z9" s="1065" t="s">
        <v>406</v>
      </c>
      <c r="AA9" s="1140" t="s">
        <v>407</v>
      </c>
      <c r="AB9" s="1065" t="s">
        <v>408</v>
      </c>
      <c r="AC9" s="1065" t="s">
        <v>409</v>
      </c>
      <c r="AD9" s="1065" t="s">
        <v>360</v>
      </c>
      <c r="AE9" s="1140" t="s">
        <v>410</v>
      </c>
      <c r="AF9" s="1065" t="s">
        <v>411</v>
      </c>
      <c r="AG9" s="1140" t="s">
        <v>412</v>
      </c>
      <c r="AH9" s="1140"/>
      <c r="AI9" s="1210"/>
      <c r="AJ9" s="1248"/>
      <c r="AK9" s="1246"/>
    </row>
    <row r="10" spans="2:37" s="27" customFormat="1" ht="12.75">
      <c r="B10" s="1148"/>
      <c r="C10" s="1150"/>
      <c r="D10" s="1066"/>
      <c r="E10" s="1066"/>
      <c r="F10" s="1066"/>
      <c r="G10" s="1066"/>
      <c r="H10" s="1066"/>
      <c r="I10" s="1066"/>
      <c r="J10" s="1066"/>
      <c r="K10" s="1066"/>
      <c r="L10" s="1066"/>
      <c r="M10" s="1066"/>
      <c r="N10" s="1212"/>
      <c r="O10" s="1140"/>
      <c r="P10" s="1066"/>
      <c r="Q10" s="1140"/>
      <c r="R10" s="1066"/>
      <c r="S10" s="1242"/>
      <c r="T10" s="1066"/>
      <c r="U10" s="1066"/>
      <c r="V10" s="1066"/>
      <c r="W10" s="1239"/>
      <c r="X10" s="1066"/>
      <c r="Y10" s="1066"/>
      <c r="Z10" s="1066"/>
      <c r="AA10" s="1140"/>
      <c r="AB10" s="1066"/>
      <c r="AC10" s="1066"/>
      <c r="AD10" s="1066"/>
      <c r="AE10" s="1140"/>
      <c r="AF10" s="1066"/>
      <c r="AG10" s="1140"/>
      <c r="AH10" s="1140"/>
      <c r="AI10" s="1210"/>
      <c r="AJ10" s="1248"/>
      <c r="AK10" s="1246"/>
    </row>
    <row r="11" spans="2:37" s="27" customFormat="1" ht="12.75" customHeight="1">
      <c r="B11" s="1148"/>
      <c r="C11" s="1150"/>
      <c r="D11" s="1066"/>
      <c r="E11" s="1066"/>
      <c r="F11" s="1066"/>
      <c r="G11" s="1066"/>
      <c r="H11" s="1066"/>
      <c r="I11" s="1066"/>
      <c r="J11" s="1066"/>
      <c r="K11" s="1066"/>
      <c r="L11" s="1066"/>
      <c r="M11" s="1066"/>
      <c r="N11" s="1212"/>
      <c r="O11" s="1140"/>
      <c r="P11" s="1066"/>
      <c r="Q11" s="1140"/>
      <c r="R11" s="1066"/>
      <c r="S11" s="1242"/>
      <c r="T11" s="1066"/>
      <c r="U11" s="1066"/>
      <c r="V11" s="1066"/>
      <c r="W11" s="1239"/>
      <c r="X11" s="1066"/>
      <c r="Y11" s="1066"/>
      <c r="Z11" s="1066"/>
      <c r="AA11" s="1140"/>
      <c r="AB11" s="1066"/>
      <c r="AC11" s="1066"/>
      <c r="AD11" s="1066"/>
      <c r="AE11" s="1140"/>
      <c r="AF11" s="1066"/>
      <c r="AG11" s="1140"/>
      <c r="AH11" s="1140"/>
      <c r="AI11" s="1210"/>
      <c r="AJ11" s="1248"/>
      <c r="AK11" s="1246"/>
    </row>
    <row r="12" spans="2:37" s="27" customFormat="1" ht="12.75">
      <c r="B12" s="1148"/>
      <c r="C12" s="1150"/>
      <c r="D12" s="1066"/>
      <c r="E12" s="1066"/>
      <c r="F12" s="1066"/>
      <c r="G12" s="1066"/>
      <c r="H12" s="1066"/>
      <c r="I12" s="1066"/>
      <c r="J12" s="1066"/>
      <c r="K12" s="1066"/>
      <c r="L12" s="1066"/>
      <c r="M12" s="1066"/>
      <c r="N12" s="1212"/>
      <c r="O12" s="1140"/>
      <c r="P12" s="1066"/>
      <c r="Q12" s="1140"/>
      <c r="R12" s="1066"/>
      <c r="S12" s="1242"/>
      <c r="T12" s="1066"/>
      <c r="U12" s="1066"/>
      <c r="V12" s="1066"/>
      <c r="W12" s="1239"/>
      <c r="X12" s="1066"/>
      <c r="Y12" s="1066"/>
      <c r="Z12" s="1066"/>
      <c r="AA12" s="1140"/>
      <c r="AB12" s="1066"/>
      <c r="AC12" s="1066"/>
      <c r="AD12" s="1066"/>
      <c r="AE12" s="1140"/>
      <c r="AF12" s="1066"/>
      <c r="AG12" s="1140"/>
      <c r="AH12" s="1140"/>
      <c r="AI12" s="1210"/>
      <c r="AJ12" s="1248"/>
      <c r="AK12" s="1246"/>
    </row>
    <row r="13" spans="1:37" s="27" customFormat="1" ht="12.75">
      <c r="A13" s="1065" t="s">
        <v>413</v>
      </c>
      <c r="B13" s="1148"/>
      <c r="C13" s="1150"/>
      <c r="D13" s="1067"/>
      <c r="E13" s="1067"/>
      <c r="F13" s="1067"/>
      <c r="G13" s="1067"/>
      <c r="H13" s="1067"/>
      <c r="I13" s="1067"/>
      <c r="J13" s="1067"/>
      <c r="K13" s="1067"/>
      <c r="L13" s="1067"/>
      <c r="M13" s="1067"/>
      <c r="N13" s="1212"/>
      <c r="O13" s="1140"/>
      <c r="P13" s="1067"/>
      <c r="Q13" s="1140"/>
      <c r="R13" s="1067"/>
      <c r="S13" s="1242"/>
      <c r="T13" s="1067"/>
      <c r="U13" s="1067"/>
      <c r="V13" s="1067"/>
      <c r="W13" s="1239"/>
      <c r="X13" s="1067"/>
      <c r="Y13" s="1067"/>
      <c r="Z13" s="1067"/>
      <c r="AA13" s="1140"/>
      <c r="AB13" s="1067"/>
      <c r="AC13" s="1067"/>
      <c r="AD13" s="1067"/>
      <c r="AE13" s="1140"/>
      <c r="AF13" s="1067"/>
      <c r="AG13" s="1140"/>
      <c r="AH13" s="1140"/>
      <c r="AI13" s="1210"/>
      <c r="AJ13" s="1248"/>
      <c r="AK13" s="1246"/>
    </row>
    <row r="14" spans="1:37" s="27" customFormat="1" ht="26.25" customHeight="1">
      <c r="A14" s="1066"/>
      <c r="B14" s="1171" t="s">
        <v>414</v>
      </c>
      <c r="C14" s="1172"/>
      <c r="D14" s="459">
        <v>7938.56</v>
      </c>
      <c r="E14" s="459">
        <v>6867.6</v>
      </c>
      <c r="F14" s="459">
        <v>10039.89</v>
      </c>
      <c r="G14" s="459">
        <v>9995.21</v>
      </c>
      <c r="H14" s="459">
        <v>17901.94</v>
      </c>
      <c r="I14" s="459">
        <v>28725.55</v>
      </c>
      <c r="J14" s="459">
        <v>13737.5</v>
      </c>
      <c r="K14" s="459">
        <v>11971.76</v>
      </c>
      <c r="L14" s="459">
        <v>18524.29</v>
      </c>
      <c r="M14" s="459">
        <v>18475.7</v>
      </c>
      <c r="N14" s="1212"/>
      <c r="O14" s="1140"/>
      <c r="P14" s="460"/>
      <c r="Q14" s="1140"/>
      <c r="R14" s="460"/>
      <c r="S14" s="1242"/>
      <c r="T14" s="461">
        <v>245.36</v>
      </c>
      <c r="U14" s="461">
        <v>42.63</v>
      </c>
      <c r="V14" s="461">
        <v>184.41</v>
      </c>
      <c r="W14" s="1239"/>
      <c r="X14" s="462" t="s">
        <v>415</v>
      </c>
      <c r="Y14" s="461">
        <v>33.24</v>
      </c>
      <c r="Z14" s="461">
        <v>21.43</v>
      </c>
      <c r="AA14" s="1140"/>
      <c r="AB14" s="462" t="s">
        <v>415</v>
      </c>
      <c r="AC14" s="463">
        <v>4.71</v>
      </c>
      <c r="AD14" s="460" t="s">
        <v>355</v>
      </c>
      <c r="AE14" s="1140"/>
      <c r="AF14" s="464"/>
      <c r="AG14" s="1140"/>
      <c r="AH14" s="1140"/>
      <c r="AI14" s="1210"/>
      <c r="AJ14" s="1248"/>
      <c r="AK14" s="1246"/>
    </row>
    <row r="15" spans="1:37" s="27" customFormat="1" ht="12.75">
      <c r="A15" s="1066"/>
      <c r="B15" s="1134" t="s">
        <v>416</v>
      </c>
      <c r="C15" s="978" t="s">
        <v>417</v>
      </c>
      <c r="D15" s="1134" t="s">
        <v>418</v>
      </c>
      <c r="E15" s="1134" t="s">
        <v>418</v>
      </c>
      <c r="F15" s="1134" t="s">
        <v>418</v>
      </c>
      <c r="G15" s="1134" t="s">
        <v>418</v>
      </c>
      <c r="H15" s="1134" t="s">
        <v>418</v>
      </c>
      <c r="I15" s="1134" t="s">
        <v>418</v>
      </c>
      <c r="J15" s="1134" t="s">
        <v>418</v>
      </c>
      <c r="K15" s="1134" t="s">
        <v>418</v>
      </c>
      <c r="L15" s="1134" t="s">
        <v>418</v>
      </c>
      <c r="M15" s="1134" t="s">
        <v>418</v>
      </c>
      <c r="N15" s="1129"/>
      <c r="O15" s="1129" t="s">
        <v>419</v>
      </c>
      <c r="P15" s="1126" t="s">
        <v>419</v>
      </c>
      <c r="Q15" s="1129" t="s">
        <v>419</v>
      </c>
      <c r="R15" s="1126" t="s">
        <v>419</v>
      </c>
      <c r="S15" s="1129" t="s">
        <v>419</v>
      </c>
      <c r="T15" s="1126" t="s">
        <v>419</v>
      </c>
      <c r="U15" s="1126" t="s">
        <v>419</v>
      </c>
      <c r="V15" s="1126" t="s">
        <v>419</v>
      </c>
      <c r="W15" s="1129" t="s">
        <v>419</v>
      </c>
      <c r="X15" s="1126" t="s">
        <v>419</v>
      </c>
      <c r="Y15" s="1126" t="s">
        <v>419</v>
      </c>
      <c r="Z15" s="1126" t="s">
        <v>419</v>
      </c>
      <c r="AA15" s="1129" t="s">
        <v>419</v>
      </c>
      <c r="AB15" s="1126" t="s">
        <v>419</v>
      </c>
      <c r="AC15" s="1126" t="s">
        <v>419</v>
      </c>
      <c r="AD15" s="1126" t="s">
        <v>419</v>
      </c>
      <c r="AE15" s="1129" t="s">
        <v>419</v>
      </c>
      <c r="AF15" s="1126" t="s">
        <v>419</v>
      </c>
      <c r="AG15" s="1129" t="s">
        <v>419</v>
      </c>
      <c r="AH15" s="1129" t="s">
        <v>419</v>
      </c>
      <c r="AI15" s="1129" t="s">
        <v>419</v>
      </c>
      <c r="AJ15" s="465"/>
      <c r="AK15" s="466"/>
    </row>
    <row r="16" spans="1:37" s="27" customFormat="1" ht="19.5" customHeight="1">
      <c r="A16" s="1067"/>
      <c r="B16" s="1135"/>
      <c r="C16" s="980"/>
      <c r="D16" s="1135"/>
      <c r="E16" s="1135"/>
      <c r="F16" s="1135"/>
      <c r="G16" s="1135"/>
      <c r="H16" s="1135"/>
      <c r="I16" s="1135"/>
      <c r="J16" s="1135"/>
      <c r="K16" s="1135"/>
      <c r="L16" s="1135"/>
      <c r="M16" s="1135"/>
      <c r="N16" s="1127"/>
      <c r="O16" s="1127"/>
      <c r="P16" s="1127"/>
      <c r="Q16" s="1127"/>
      <c r="R16" s="1127"/>
      <c r="S16" s="1127"/>
      <c r="T16" s="1127"/>
      <c r="U16" s="1127"/>
      <c r="V16" s="1127"/>
      <c r="W16" s="1127"/>
      <c r="X16" s="1127"/>
      <c r="Y16" s="1127"/>
      <c r="Z16" s="1127"/>
      <c r="AA16" s="1127"/>
      <c r="AB16" s="1127"/>
      <c r="AC16" s="1127"/>
      <c r="AD16" s="1127"/>
      <c r="AE16" s="1127"/>
      <c r="AF16" s="1127"/>
      <c r="AG16" s="1127"/>
      <c r="AH16" s="1127"/>
      <c r="AI16" s="1127"/>
      <c r="AJ16" s="468" t="s">
        <v>419</v>
      </c>
      <c r="AK16" s="467" t="s">
        <v>419</v>
      </c>
    </row>
    <row r="17" spans="36:112" ht="12.75">
      <c r="AJ17" s="469"/>
      <c r="CU17" s="470"/>
      <c r="CV17" s="471" t="s">
        <v>420</v>
      </c>
      <c r="CW17" s="471" t="s">
        <v>421</v>
      </c>
      <c r="CX17" s="472" t="s">
        <v>422</v>
      </c>
      <c r="CY17" s="473" t="s">
        <v>423</v>
      </c>
      <c r="CZ17" s="474" t="s">
        <v>424</v>
      </c>
      <c r="DA17" s="475"/>
      <c r="DB17" s="476" t="s">
        <v>425</v>
      </c>
      <c r="DC17" s="477" t="s">
        <v>426</v>
      </c>
      <c r="DD17" s="478" t="s">
        <v>427</v>
      </c>
      <c r="DE17" s="471" t="s">
        <v>428</v>
      </c>
      <c r="DF17" s="471" t="s">
        <v>429</v>
      </c>
      <c r="DG17" s="471" t="s">
        <v>430</v>
      </c>
      <c r="DH17" s="471" t="s">
        <v>431</v>
      </c>
    </row>
    <row r="18" spans="1:113" ht="12.75">
      <c r="A18" s="479">
        <v>2</v>
      </c>
      <c r="B18" s="480" t="s">
        <v>432</v>
      </c>
      <c r="C18" s="480">
        <v>7001</v>
      </c>
      <c r="D18" s="481">
        <v>23</v>
      </c>
      <c r="E18" s="481">
        <v>37.42</v>
      </c>
      <c r="F18" s="481">
        <v>10</v>
      </c>
      <c r="G18" s="481">
        <v>22</v>
      </c>
      <c r="H18" s="481">
        <v>0</v>
      </c>
      <c r="I18" s="481">
        <v>0</v>
      </c>
      <c r="J18" s="481">
        <v>7</v>
      </c>
      <c r="K18" s="481">
        <v>12</v>
      </c>
      <c r="L18" s="481">
        <v>0</v>
      </c>
      <c r="M18" s="481">
        <v>0</v>
      </c>
      <c r="N18" s="481">
        <f>SUM(D18:M18)</f>
        <v>111.42</v>
      </c>
      <c r="O18" s="481">
        <f>IF(ISERROR($D$14*D18),0,$D$14*D18)+IF(ISERROR($E$14*E18),0,$E$14*E18)+IF(ISERROR($F$14*F18),0,$F$14*F18)+IF(ISERROR($G$14*G18),0,$G$14*G18)+IF(ISERROR($H$14*H18),0,$H$14*H18)+IF(ISERROR($I$14*I18),0,$I$14*I18)+IF(ISERROR($J$14*J18),0,$J$14*J18)+IF(ISERROR($K$14*K18),0,$K$14*K18)+IF(ISERROR($L$14*L18),0,$L$14*L18)+IF(ISERROR($M$14*M18),0,$M$14*M18)+IF(ISERROR(#REF!*#REF!),0,#REF!*#REF!)+IF(ISERROR(#REF!*#REF!),0,#REF!*#REF!)+IF(ISERROR(#REF!*#REF!),0,#REF!*#REF!)+IF(ISERROR(#REF!*#REF!),0,#REF!*#REF!)+IF(ISERROR(#REF!*#REF!),0,#REF!*#REF!)+IF(ISERROR(#REF!*#REF!),0,#REF!*#REF!)</f>
        <v>999689.6120000001</v>
      </c>
      <c r="P18" s="481"/>
      <c r="Q18" s="481">
        <f>SUM(P18:P18)</f>
        <v>0</v>
      </c>
      <c r="R18" s="481"/>
      <c r="S18" s="481">
        <f>SUM(R18:R18)</f>
        <v>0</v>
      </c>
      <c r="T18" s="481">
        <v>4907</v>
      </c>
      <c r="U18" s="481">
        <v>682</v>
      </c>
      <c r="V18" s="481">
        <v>2503</v>
      </c>
      <c r="W18" s="481">
        <f>SUM(T18:V18)</f>
        <v>8092</v>
      </c>
      <c r="X18" s="481">
        <v>793</v>
      </c>
      <c r="Y18" s="481">
        <v>6691</v>
      </c>
      <c r="Z18" s="481">
        <v>39903</v>
      </c>
      <c r="AA18" s="481">
        <f>SUM(X18:Z18)</f>
        <v>47387</v>
      </c>
      <c r="AB18" s="481">
        <v>0</v>
      </c>
      <c r="AC18" s="481">
        <v>8770</v>
      </c>
      <c r="AD18" s="481">
        <v>176561</v>
      </c>
      <c r="AE18" s="481">
        <f>SUM(AB18:AD18)</f>
        <v>185331</v>
      </c>
      <c r="AF18" s="481">
        <v>0</v>
      </c>
      <c r="AG18" s="481">
        <f>SUM(AF18:AF18)</f>
        <v>0</v>
      </c>
      <c r="AH18" s="481">
        <v>0</v>
      </c>
      <c r="AI18" s="481">
        <f>IF(ISERROR(SUM(O18,Q18,S18,W18,AA18,AE18,AG18,AH18)),0,SUM(O18,Q18,S18,W18,AA18,AE18,AG18,AH18))</f>
        <v>1240499.6120000002</v>
      </c>
      <c r="AJ18" s="482">
        <f>SUM(O18:AH18)+O18+AH18</f>
        <v>2480999.2240000004</v>
      </c>
      <c r="AK18" s="441">
        <f>IF(ISERROR($D$14*D18),0,$D$14*D18)+IF(ISERROR($E$14*E18),0,$E$14*E18)+IF(ISERROR($F$14*F18),0,$F$14*F18)+IF(ISERROR($G$14*G18),0,$G$14*G18)+IF(ISERROR($H$14*H18),0,$H$14*H18)+IF(ISERROR($I$14*I18),0,$I$14*I18)+IF(ISERROR($J$14*J18),0,$J$14*J18)+IF(ISERROR($K$14*K18),0,$K$14*K18)+IF(ISERROR($L$14*L18),0,$L$14*L18)+IF(ISERROR($M$14*M18),0,$M$14*M18)+IF(ISERROR(#REF!*#REF!),0,#REF!*#REF!)+IF(ISERROR(#REF!*#REF!),0,#REF!*#REF!)+IF(ISERROR(#REF!*#REF!),0,#REF!*#REF!)+IF(ISERROR(#REF!*#REF!),0,#REF!*#REF!)+IF(ISERROR(#REF!*#REF!),0,#REF!*#REF!)+IF(ISERROR(#REF!*#REF!),0,#REF!*#REF!)</f>
        <v>999689.6120000001</v>
      </c>
      <c r="AM18" s="316">
        <v>-1.3880000000353903</v>
      </c>
      <c r="CU18" s="483"/>
      <c r="CV18" s="442">
        <f>'Table 2'!AS127</f>
      </c>
      <c r="CW18" s="442">
        <f>'Table 2'!AT127</f>
      </c>
      <c r="CX18" s="442">
        <f>'Table 2'!AU127</f>
      </c>
      <c r="CY18" s="442">
        <f>'Table 2'!AV127</f>
      </c>
      <c r="CZ18" s="442">
        <f>'Table 2'!AX127</f>
      </c>
      <c r="DA18" s="483"/>
      <c r="DB18" s="442">
        <f>'Table 2'!BB127</f>
      </c>
      <c r="DC18" s="442">
        <f>'Table 2'!BC127</f>
      </c>
      <c r="DD18" s="442">
        <f>'Table 2'!BD127</f>
      </c>
      <c r="DE18" s="442">
        <f>'Table 2'!BE127</f>
      </c>
      <c r="DF18" s="442">
        <f>'Table 2'!BF127</f>
      </c>
      <c r="DG18" s="442">
        <f>'Table 2'!BG127</f>
      </c>
      <c r="DH18" s="442">
        <f>'Table 2'!BH127</f>
      </c>
      <c r="DI18" s="434">
        <f>IF(LEN(TRIM(CV18&amp;CW18&amp;CX18&amp;CY18&amp;CZ18&amp;DB18&amp;DC18&amp;DD18&amp;DE18&amp;DF18&amp;DG18&amp;DH18))&gt;0,1,0)</f>
        <v>0</v>
      </c>
    </row>
    <row r="19" spans="1:113" ht="12.75">
      <c r="A19" s="479">
        <v>5</v>
      </c>
      <c r="B19" s="480" t="s">
        <v>433</v>
      </c>
      <c r="C19" s="480">
        <v>7002</v>
      </c>
      <c r="D19" s="481">
        <v>0</v>
      </c>
      <c r="E19" s="481">
        <v>0</v>
      </c>
      <c r="F19" s="481">
        <v>2</v>
      </c>
      <c r="G19" s="481">
        <v>19</v>
      </c>
      <c r="H19" s="481">
        <v>0</v>
      </c>
      <c r="I19" s="481">
        <v>24</v>
      </c>
      <c r="J19" s="481">
        <v>3</v>
      </c>
      <c r="K19" s="481">
        <v>18</v>
      </c>
      <c r="L19" s="481">
        <v>9</v>
      </c>
      <c r="M19" s="481">
        <v>17</v>
      </c>
      <c r="N19" s="481">
        <f>SUM(D19:M19)</f>
        <v>92</v>
      </c>
      <c r="O19" s="481">
        <f>IF(ISERROR($D$14*D19),0,$D$14*D19)+IF(ISERROR($E$14*E19),0,$E$14*E19)+IF(ISERROR($F$14*F19),0,$F$14*F19)+IF(ISERROR($G$14*G19),0,$G$14*G19)+IF(ISERROR($H$14*H19),0,$H$14*H19)+IF(ISERROR($I$14*I19),0,$I$14*I19)+IF(ISERROR($J$14*J19),0,$J$14*J19)+IF(ISERROR($K$14*K19),0,$K$14*K19)+IF(ISERROR($L$14*L19),0,$L$14*L19)+IF(ISERROR($M$14*M19),0,$M$14*M19)+IF(ISERROR(#REF!*#REF!),0,#REF!*#REF!)+IF(ISERROR(#REF!*#REF!),0,#REF!*#REF!)+IF(ISERROR(#REF!*#REF!),0,#REF!*#REF!)+IF(ISERROR(#REF!*#REF!),0,#REF!*#REF!)+IF(ISERROR(#REF!*#REF!),0,#REF!*#REF!)+IF(ISERROR(#REF!*#REF!),0,#REF!*#REF!)</f>
        <v>1636911.6600000001</v>
      </c>
      <c r="P19" s="481"/>
      <c r="Q19" s="481">
        <f>SUM(P19:P19)</f>
        <v>0</v>
      </c>
      <c r="R19" s="481"/>
      <c r="S19" s="481">
        <f>SUM(R19:R19)</f>
        <v>0</v>
      </c>
      <c r="T19" s="481">
        <v>2699</v>
      </c>
      <c r="U19" s="481">
        <v>682</v>
      </c>
      <c r="V19" s="481">
        <v>1684</v>
      </c>
      <c r="W19" s="481">
        <f>SUM(T19:V19)</f>
        <v>5065</v>
      </c>
      <c r="X19" s="481">
        <v>0</v>
      </c>
      <c r="Y19" s="481">
        <v>5108</v>
      </c>
      <c r="Z19" s="481">
        <v>62619</v>
      </c>
      <c r="AA19" s="481">
        <f>SUM(X19:Z19)</f>
        <v>67727</v>
      </c>
      <c r="AB19" s="481">
        <v>0</v>
      </c>
      <c r="AC19" s="481">
        <v>13763</v>
      </c>
      <c r="AD19" s="481">
        <v>179315</v>
      </c>
      <c r="AE19" s="481">
        <f>SUM(AB19:AD19)</f>
        <v>193078</v>
      </c>
      <c r="AF19" s="481">
        <v>0</v>
      </c>
      <c r="AG19" s="481">
        <f>SUM(AF19:AF19)</f>
        <v>0</v>
      </c>
      <c r="AH19" s="481">
        <v>0</v>
      </c>
      <c r="AI19" s="481">
        <f>IF(ISERROR(SUM(O19,Q19,S19,W19,AA19,AE19,AG19,AH19)),0,SUM(O19,Q19,S19,W19,AA19,AE19,AG19,AH19))</f>
        <v>1902781.6600000001</v>
      </c>
      <c r="AJ19" s="482">
        <f>SUM(O19:AH19)+O19+AH19</f>
        <v>3805563.3200000003</v>
      </c>
      <c r="AK19" s="441">
        <f>IF(ISERROR($D$14*D19),0,$D$14*D19)+IF(ISERROR($E$14*E19),0,$E$14*E19)+IF(ISERROR($F$14*F19),0,$F$14*F19)+IF(ISERROR($G$14*G19),0,$G$14*G19)+IF(ISERROR($H$14*H19),0,$H$14*H19)+IF(ISERROR($I$14*I19),0,$I$14*I19)+IF(ISERROR($J$14*J19),0,$J$14*J19)+IF(ISERROR($K$14*K19),0,$K$14*K19)+IF(ISERROR($L$14*L19),0,$L$14*L19)+IF(ISERROR($M$14*M19),0,$M$14*M19)+IF(ISERROR(#REF!*#REF!),0,#REF!*#REF!)+IF(ISERROR(#REF!*#REF!),0,#REF!*#REF!)+IF(ISERROR(#REF!*#REF!),0,#REF!*#REF!)+IF(ISERROR(#REF!*#REF!),0,#REF!*#REF!)+IF(ISERROR(#REF!*#REF!),0,#REF!*#REF!)+IF(ISERROR(#REF!*#REF!),0,#REF!*#REF!)</f>
        <v>1636911.6600000001</v>
      </c>
      <c r="AM19" s="316">
        <v>-1.3400000003166497</v>
      </c>
      <c r="CU19" s="483"/>
      <c r="CV19" s="442">
        <f>'Table 2'!AS128</f>
      </c>
      <c r="CW19" s="442">
        <f>'Table 2'!AT128</f>
      </c>
      <c r="CX19" s="442">
        <f>'Table 2'!AU128</f>
      </c>
      <c r="CY19" s="442">
        <f>'Table 2'!AV128</f>
      </c>
      <c r="CZ19" s="442">
        <f>'Table 2'!AX128</f>
      </c>
      <c r="DA19" s="483"/>
      <c r="DB19" s="442">
        <f>'Table 2'!BB128</f>
      </c>
      <c r="DC19" s="442">
        <f>'Table 2'!BC128</f>
      </c>
      <c r="DD19" s="442">
        <f>'Table 2'!BD128</f>
      </c>
      <c r="DE19" s="442">
        <f>'Table 2'!BE128</f>
      </c>
      <c r="DF19" s="442">
        <f>'Table 2'!BF128</f>
      </c>
      <c r="DG19" s="442">
        <f>'Table 2'!BG128</f>
      </c>
      <c r="DH19" s="442">
        <f>'Table 2'!BH128</f>
      </c>
      <c r="DI19" s="434">
        <f>IF(LEN(TRIM(CV19&amp;CW19&amp;CX19&amp;CY19&amp;CZ19&amp;DB19&amp;DC19&amp;DD19&amp;DE19&amp;DF19&amp;DG19&amp;DH19))&gt;0,1,0)</f>
        <v>0</v>
      </c>
    </row>
    <row r="20" spans="1:113" ht="12.75">
      <c r="A20" s="479">
        <v>1</v>
      </c>
      <c r="B20" s="480" t="s">
        <v>434</v>
      </c>
      <c r="C20" s="480">
        <v>7005</v>
      </c>
      <c r="D20" s="481">
        <v>30.83</v>
      </c>
      <c r="E20" s="481">
        <v>42</v>
      </c>
      <c r="F20" s="481">
        <v>6</v>
      </c>
      <c r="G20" s="481">
        <v>12</v>
      </c>
      <c r="H20" s="481">
        <v>0</v>
      </c>
      <c r="I20" s="481">
        <v>0</v>
      </c>
      <c r="J20" s="481">
        <v>4</v>
      </c>
      <c r="K20" s="481">
        <v>5</v>
      </c>
      <c r="L20" s="481">
        <v>3</v>
      </c>
      <c r="M20" s="481">
        <v>8</v>
      </c>
      <c r="N20" s="481">
        <f>SUM(D20:M20)</f>
        <v>110.83</v>
      </c>
      <c r="O20" s="481">
        <f>IF(ISERROR($D$14*D20),0,$D$14*D20)+IF(ISERROR($E$14*E20),0,$E$14*E20)+IF(ISERROR($F$14*F20),0,$F$14*F20)+IF(ISERROR($G$14*G20),0,$G$14*G20)+IF(ISERROR($H$14*H20),0,$H$14*H20)+IF(ISERROR($I$14*I20),0,$I$14*I20)+IF(ISERROR($J$14*J20),0,$J$14*J20)+IF(ISERROR($K$14*K20),0,$K$14*K20)+IF(ISERROR($L$14*L20),0,$L$14*L20)+IF(ISERROR($M$14*M20),0,$M$14*M20)+IF(ISERROR(#REF!*#REF!),0,#REF!*#REF!)+IF(ISERROR(#REF!*#REF!),0,#REF!*#REF!)+IF(ISERROR(#REF!*#REF!),0,#REF!*#REF!)+IF(ISERROR(#REF!*#REF!),0,#REF!*#REF!)+IF(ISERROR(#REF!*#REF!),0,#REF!*#REF!)+IF(ISERROR(#REF!*#REF!),0,#REF!*#REF!)</f>
        <v>1031554.1348</v>
      </c>
      <c r="P20" s="481"/>
      <c r="Q20" s="481">
        <f>SUM(P20:P20)</f>
        <v>0</v>
      </c>
      <c r="R20" s="481"/>
      <c r="S20" s="481">
        <f>SUM(R20:R20)</f>
        <v>0</v>
      </c>
      <c r="T20" s="481">
        <v>16194</v>
      </c>
      <c r="U20" s="481">
        <v>1876</v>
      </c>
      <c r="V20" s="481">
        <v>7128</v>
      </c>
      <c r="W20" s="481">
        <f>SUM(T20:V20)</f>
        <v>25198</v>
      </c>
      <c r="X20" s="481">
        <v>969</v>
      </c>
      <c r="Y20" s="481">
        <v>5352</v>
      </c>
      <c r="Z20" s="481">
        <v>53156</v>
      </c>
      <c r="AA20" s="481">
        <f>SUM(X20:Z20)</f>
        <v>59477</v>
      </c>
      <c r="AB20" s="481">
        <v>0</v>
      </c>
      <c r="AC20" s="481">
        <v>11683</v>
      </c>
      <c r="AD20" s="481">
        <v>176561</v>
      </c>
      <c r="AE20" s="481">
        <f>SUM(AB20:AD20)</f>
        <v>188244</v>
      </c>
      <c r="AF20" s="481">
        <v>0</v>
      </c>
      <c r="AG20" s="481">
        <f>SUM(AF20:AF20)</f>
        <v>0</v>
      </c>
      <c r="AH20" s="481">
        <v>0</v>
      </c>
      <c r="AI20" s="481">
        <f>IF(ISERROR(SUM(O20,Q20,S20,W20,AA20,AE20,AG20,AH20)),0,SUM(O20,Q20,S20,W20,AA20,AE20,AG20,AH20))</f>
        <v>1304473.1348</v>
      </c>
      <c r="AJ20" s="482">
        <f>SUM(O20:AH20)+O20+AH20</f>
        <v>2608946.2696</v>
      </c>
      <c r="AK20" s="441">
        <f>IF(ISERROR($D$14*D20),0,$D$14*D20)+IF(ISERROR($E$14*E20),0,$E$14*E20)+IF(ISERROR($F$14*F20),0,$F$14*F20)+IF(ISERROR($G$14*G20),0,$G$14*G20)+IF(ISERROR($H$14*H20),0,$H$14*H20)+IF(ISERROR($I$14*I20),0,$I$14*I20)+IF(ISERROR($J$14*J20),0,$J$14*J20)+IF(ISERROR($K$14*K20),0,$K$14*K20)+IF(ISERROR($L$14*L20),0,$L$14*L20)+IF(ISERROR($M$14*M20),0,$M$14*M20)+IF(ISERROR(#REF!*#REF!),0,#REF!*#REF!)+IF(ISERROR(#REF!*#REF!),0,#REF!*#REF!)+IF(ISERROR(#REF!*#REF!),0,#REF!*#REF!)+IF(ISERROR(#REF!*#REF!),0,#REF!*#REF!)+IF(ISERROR(#REF!*#REF!),0,#REF!*#REF!)+IF(ISERROR(#REF!*#REF!),0,#REF!*#REF!)</f>
        <v>1031554.1348</v>
      </c>
      <c r="AM20" s="316">
        <v>-0.8652000001166016</v>
      </c>
      <c r="CU20" s="483"/>
      <c r="CV20" s="442">
        <f>'Table 2'!AS129</f>
      </c>
      <c r="CW20" s="442">
        <f>'Table 2'!AT129</f>
      </c>
      <c r="CX20" s="442">
        <f>'Table 2'!AU129</f>
      </c>
      <c r="CY20" s="442">
        <f>'Table 2'!AV129</f>
      </c>
      <c r="CZ20" s="442">
        <f>'Table 2'!AX129</f>
      </c>
      <c r="DA20" s="483"/>
      <c r="DB20" s="442">
        <f>'Table 2'!BB129</f>
      </c>
      <c r="DC20" s="442">
        <f>'Table 2'!BC129</f>
      </c>
      <c r="DD20" s="442">
        <f>'Table 2'!BD129</f>
      </c>
      <c r="DE20" s="442">
        <f>'Table 2'!BE129</f>
      </c>
      <c r="DF20" s="442">
        <f>'Table 2'!BF129</f>
      </c>
      <c r="DG20" s="442">
        <f>'Table 2'!BG129</f>
      </c>
      <c r="DH20" s="442">
        <f>'Table 2'!BH129</f>
      </c>
      <c r="DI20" s="434">
        <f>IF(LEN(TRIM(CV20&amp;CW20&amp;CX20&amp;CY20&amp;CZ20&amp;DB20&amp;DC20&amp;DD20&amp;DE20&amp;DF20&amp;DG20&amp;DH20))&gt;0,1,0)</f>
        <v>0</v>
      </c>
    </row>
    <row r="21" spans="1:113" ht="12.75">
      <c r="A21" s="479">
        <v>4</v>
      </c>
      <c r="B21" s="480" t="s">
        <v>435</v>
      </c>
      <c r="C21" s="480">
        <v>7007</v>
      </c>
      <c r="D21" s="481">
        <v>0</v>
      </c>
      <c r="E21" s="481">
        <v>0</v>
      </c>
      <c r="F21" s="481">
        <v>4</v>
      </c>
      <c r="G21" s="481">
        <v>31</v>
      </c>
      <c r="H21" s="481">
        <v>0</v>
      </c>
      <c r="I21" s="481">
        <v>3</v>
      </c>
      <c r="J21" s="481">
        <v>9</v>
      </c>
      <c r="K21" s="481">
        <v>3</v>
      </c>
      <c r="L21" s="481">
        <v>13</v>
      </c>
      <c r="M21" s="481">
        <v>12</v>
      </c>
      <c r="N21" s="481">
        <f>SUM(D21:M21)</f>
        <v>75</v>
      </c>
      <c r="O21" s="481">
        <f>IF(ISERROR($D$14*D21),0,$D$14*D21)+IF(ISERROR($E$14*E21),0,$E$14*E21)+IF(ISERROR($F$14*F21),0,$F$14*F21)+IF(ISERROR($G$14*G21),0,$G$14*G21)+IF(ISERROR($H$14*H21),0,$H$14*H21)+IF(ISERROR($I$14*I21),0,$I$14*I21)+IF(ISERROR($J$14*J21),0,$J$14*J21)+IF(ISERROR($K$14*K21),0,$K$14*K21)+IF(ISERROR($L$14*L21),0,$L$14*L21)+IF(ISERROR($M$14*M21),0,$M$14*M21)+IF(ISERROR(#REF!*#REF!),0,#REF!*#REF!)+IF(ISERROR(#REF!*#REF!),0,#REF!*#REF!)+IF(ISERROR(#REF!*#REF!),0,#REF!*#REF!)+IF(ISERROR(#REF!*#REF!),0,#REF!*#REF!)+IF(ISERROR(#REF!*#REF!),0,#REF!*#REF!)+IF(ISERROR(#REF!*#REF!),0,#REF!*#REF!)</f>
        <v>1058264.67</v>
      </c>
      <c r="P21" s="481"/>
      <c r="Q21" s="481">
        <f>SUM(P21:P21)</f>
        <v>0</v>
      </c>
      <c r="R21" s="481"/>
      <c r="S21" s="481">
        <f>SUM(R21:R21)</f>
        <v>0</v>
      </c>
      <c r="T21" s="481">
        <v>3190</v>
      </c>
      <c r="U21" s="481">
        <v>682</v>
      </c>
      <c r="V21" s="481">
        <v>3754</v>
      </c>
      <c r="W21" s="481">
        <f>SUM(T21:V21)</f>
        <v>7626</v>
      </c>
      <c r="X21" s="481">
        <v>1096</v>
      </c>
      <c r="Y21" s="481">
        <v>1821</v>
      </c>
      <c r="Z21" s="481">
        <v>53799</v>
      </c>
      <c r="AA21" s="481">
        <f>SUM(X21:Z21)</f>
        <v>56716</v>
      </c>
      <c r="AB21" s="481">
        <v>0</v>
      </c>
      <c r="AC21" s="481">
        <v>11824</v>
      </c>
      <c r="AD21" s="481">
        <v>179315</v>
      </c>
      <c r="AE21" s="481">
        <f>SUM(AB21:AD21)</f>
        <v>191139</v>
      </c>
      <c r="AF21" s="481">
        <v>0</v>
      </c>
      <c r="AG21" s="481">
        <f>SUM(AF21:AF21)</f>
        <v>0</v>
      </c>
      <c r="AH21" s="481">
        <v>0</v>
      </c>
      <c r="AI21" s="481">
        <f>IF(ISERROR(SUM(O21,Q21,S21,W21,AA21,AE21,AG21,AH21)),0,SUM(O21,Q21,S21,W21,AA21,AE21,AG21,AH21))</f>
        <v>1313745.67</v>
      </c>
      <c r="AJ21" s="482">
        <f>SUM(O21:AH21)+O21+AH21</f>
        <v>2627491.34</v>
      </c>
      <c r="AK21" s="441">
        <f>IF(ISERROR($D$14*D21),0,$D$14*D21)+IF(ISERROR($E$14*E21),0,$E$14*E21)+IF(ISERROR($F$14*F21),0,$F$14*F21)+IF(ISERROR($G$14*G21),0,$G$14*G21)+IF(ISERROR($H$14*H21),0,$H$14*H21)+IF(ISERROR($I$14*I21),0,$I$14*I21)+IF(ISERROR($J$14*J21),0,$J$14*J21)+IF(ISERROR($K$14*K21),0,$K$14*K21)+IF(ISERROR($L$14*L21),0,$L$14*L21)+IF(ISERROR($M$14*M21),0,$M$14*M21)+IF(ISERROR(#REF!*#REF!),0,#REF!*#REF!)+IF(ISERROR(#REF!*#REF!),0,#REF!*#REF!)+IF(ISERROR(#REF!*#REF!),0,#REF!*#REF!)+IF(ISERROR(#REF!*#REF!),0,#REF!*#REF!)+IF(ISERROR(#REF!*#REF!),0,#REF!*#REF!)+IF(ISERROR(#REF!*#REF!),0,#REF!*#REF!)</f>
        <v>1058264.67</v>
      </c>
      <c r="AM21" s="316">
        <v>-1.3300000000745058</v>
      </c>
      <c r="CU21" s="483"/>
      <c r="CV21" s="442">
        <f>'Table 2'!AS130</f>
      </c>
      <c r="CW21" s="442">
        <f>'Table 2'!AT130</f>
      </c>
      <c r="CX21" s="442">
        <f>'Table 2'!AU130</f>
      </c>
      <c r="CY21" s="442">
        <f>'Table 2'!AV130</f>
      </c>
      <c r="CZ21" s="442">
        <f>'Table 2'!AX130</f>
      </c>
      <c r="DA21" s="483"/>
      <c r="DB21" s="442">
        <f>'Table 2'!BB130</f>
      </c>
      <c r="DC21" s="442">
        <f>'Table 2'!BC130</f>
      </c>
      <c r="DD21" s="442">
        <f>'Table 2'!BD130</f>
      </c>
      <c r="DE21" s="442">
        <f>'Table 2'!BE130</f>
      </c>
      <c r="DF21" s="442">
        <f>'Table 2'!BF130</f>
      </c>
      <c r="DG21" s="442">
        <f>'Table 2'!BG130</f>
      </c>
      <c r="DH21" s="442">
        <f>'Table 2'!BH130</f>
      </c>
      <c r="DI21" s="434">
        <f>IF(LEN(TRIM(CV21&amp;CW21&amp;CX21&amp;CY21&amp;CZ21&amp;DB21&amp;DC21&amp;DD21&amp;DE21&amp;DF21&amp;DG21&amp;DH21))&gt;0,1,0)</f>
        <v>0</v>
      </c>
    </row>
    <row r="22" spans="1:113" ht="12.75">
      <c r="A22" s="479">
        <v>3</v>
      </c>
      <c r="B22" s="480" t="s">
        <v>436</v>
      </c>
      <c r="C22" s="480">
        <v>7009</v>
      </c>
      <c r="D22" s="481">
        <v>0</v>
      </c>
      <c r="E22" s="481">
        <v>0</v>
      </c>
      <c r="F22" s="481">
        <v>0</v>
      </c>
      <c r="G22" s="481">
        <v>0</v>
      </c>
      <c r="H22" s="481">
        <v>50</v>
      </c>
      <c r="I22" s="481">
        <v>0</v>
      </c>
      <c r="J22" s="481">
        <v>0</v>
      </c>
      <c r="K22" s="481">
        <v>0</v>
      </c>
      <c r="L22" s="481">
        <v>0</v>
      </c>
      <c r="M22" s="481">
        <v>0</v>
      </c>
      <c r="N22" s="481">
        <f>SUM(D22:M22)</f>
        <v>50</v>
      </c>
      <c r="O22" s="481">
        <f>IF(ISERROR($D$14*D22),0,$D$14*D22)+IF(ISERROR($E$14*E22),0,$E$14*E22)+IF(ISERROR($F$14*F22),0,$F$14*F22)+IF(ISERROR($G$14*G22),0,$G$14*G22)+IF(ISERROR($H$14*H22),0,$H$14*H22)+IF(ISERROR($I$14*I22),0,$I$14*I22)+IF(ISERROR($J$14*J22),0,$J$14*J22)+IF(ISERROR($K$14*K22),0,$K$14*K22)+IF(ISERROR($L$14*L22),0,$L$14*L22)+IF(ISERROR($M$14*M22),0,$M$14*M22)+IF(ISERROR(#REF!*#REF!),0,#REF!*#REF!)+IF(ISERROR(#REF!*#REF!),0,#REF!*#REF!)+IF(ISERROR(#REF!*#REF!),0,#REF!*#REF!)+IF(ISERROR(#REF!*#REF!),0,#REF!*#REF!)+IF(ISERROR(#REF!*#REF!),0,#REF!*#REF!)+IF(ISERROR(#REF!*#REF!),0,#REF!*#REF!)</f>
        <v>895096.9999999999</v>
      </c>
      <c r="P22" s="481"/>
      <c r="Q22" s="481">
        <f>SUM(P22:P22)</f>
        <v>0</v>
      </c>
      <c r="R22" s="481"/>
      <c r="S22" s="481">
        <f>SUM(R22:R22)</f>
        <v>0</v>
      </c>
      <c r="T22" s="481">
        <v>2944</v>
      </c>
      <c r="U22" s="481">
        <v>511</v>
      </c>
      <c r="V22" s="481">
        <v>2792</v>
      </c>
      <c r="W22" s="481">
        <f>SUM(T22:V22)</f>
        <v>6247</v>
      </c>
      <c r="X22" s="481">
        <v>1422</v>
      </c>
      <c r="Y22" s="481">
        <v>3110</v>
      </c>
      <c r="Z22" s="481">
        <v>28331</v>
      </c>
      <c r="AA22" s="481">
        <f>SUM(X22:Z22)</f>
        <v>32863</v>
      </c>
      <c r="AB22" s="481">
        <v>0</v>
      </c>
      <c r="AC22" s="481">
        <v>0</v>
      </c>
      <c r="AD22" s="481">
        <v>174779</v>
      </c>
      <c r="AE22" s="481">
        <f>SUM(AB22:AD22)</f>
        <v>174779</v>
      </c>
      <c r="AF22" s="481">
        <v>0</v>
      </c>
      <c r="AG22" s="481">
        <f>SUM(AF22:AF22)</f>
        <v>0</v>
      </c>
      <c r="AH22" s="481">
        <v>0</v>
      </c>
      <c r="AI22" s="481">
        <f>IF(ISERROR(SUM(O22,Q22,S22,W22,AA22,AE22,AG22,AH22)),0,SUM(O22,Q22,S22,W22,AA22,AE22,AG22,AH22))</f>
        <v>1108986</v>
      </c>
      <c r="AJ22" s="482">
        <f>SUM(O22:AH22)+O22+AH22</f>
        <v>2217972</v>
      </c>
      <c r="AK22" s="441">
        <f>IF(ISERROR($D$14*D22),0,$D$14*D22)+IF(ISERROR($E$14*E22),0,$E$14*E22)+IF(ISERROR($F$14*F22),0,$F$14*F22)+IF(ISERROR($G$14*G22),0,$G$14*G22)+IF(ISERROR($H$14*H22),0,$H$14*H22)+IF(ISERROR($I$14*I22),0,$I$14*I22)+IF(ISERROR($J$14*J22),0,$J$14*J22)+IF(ISERROR($K$14*K22),0,$K$14*K22)+IF(ISERROR($L$14*L22),0,$L$14*L22)+IF(ISERROR($M$14*M22),0,$M$14*M22)+IF(ISERROR(#REF!*#REF!),0,#REF!*#REF!)+IF(ISERROR(#REF!*#REF!),0,#REF!*#REF!)+IF(ISERROR(#REF!*#REF!),0,#REF!*#REF!)+IF(ISERROR(#REF!*#REF!),0,#REF!*#REF!)+IF(ISERROR(#REF!*#REF!),0,#REF!*#REF!)+IF(ISERROR(#REF!*#REF!),0,#REF!*#REF!)</f>
        <v>895096.9999999999</v>
      </c>
      <c r="AM22" s="316">
        <v>0</v>
      </c>
      <c r="CU22" s="483"/>
      <c r="CV22" s="442">
        <f>'Table 2'!AS131</f>
      </c>
      <c r="CW22" s="442">
        <f>'Table 2'!AT131</f>
      </c>
      <c r="CX22" s="442">
        <f>'Table 2'!AU131</f>
      </c>
      <c r="CY22" s="442">
        <f>'Table 2'!AV131</f>
      </c>
      <c r="CZ22" s="442">
        <f>'Table 2'!AX131</f>
      </c>
      <c r="DA22" s="483"/>
      <c r="DB22" s="442">
        <f>'Table 2'!BB131</f>
      </c>
      <c r="DC22" s="442">
        <f>'Table 2'!BC131</f>
      </c>
      <c r="DD22" s="442">
        <f>'Table 2'!BD131</f>
      </c>
      <c r="DE22" s="442">
        <f>'Table 2'!BE131</f>
      </c>
      <c r="DF22" s="442">
        <f>'Table 2'!BF131</f>
      </c>
      <c r="DG22" s="442">
        <f>'Table 2'!BG131</f>
      </c>
      <c r="DH22" s="442">
        <f>'Table 2'!BH131</f>
      </c>
      <c r="DI22" s="434">
        <f>IF(LEN(TRIM(CV22&amp;CW22&amp;CX22&amp;CY22&amp;CZ22&amp;DB22&amp;DC22&amp;DD22&amp;DE22&amp;DF22&amp;DG22&amp;DH22))&gt;0,1,0)</f>
        <v>0</v>
      </c>
    </row>
    <row r="23" ht="13.5" thickBot="1">
      <c r="DA23" s="484"/>
    </row>
    <row r="24" spans="2:113" ht="14.25" thickBot="1" thickTop="1">
      <c r="B24" s="1220" t="s">
        <v>437</v>
      </c>
      <c r="C24" s="1221"/>
      <c r="D24" s="485">
        <f aca="true" t="shared" si="0" ref="D24:AI24">SUM(D18:D23)</f>
        <v>53.83</v>
      </c>
      <c r="E24" s="485">
        <f t="shared" si="0"/>
        <v>79.42</v>
      </c>
      <c r="F24" s="485">
        <f t="shared" si="0"/>
        <v>22</v>
      </c>
      <c r="G24" s="485">
        <f t="shared" si="0"/>
        <v>84</v>
      </c>
      <c r="H24" s="485">
        <f t="shared" si="0"/>
        <v>50</v>
      </c>
      <c r="I24" s="485">
        <f t="shared" si="0"/>
        <v>27</v>
      </c>
      <c r="J24" s="485">
        <f t="shared" si="0"/>
        <v>23</v>
      </c>
      <c r="K24" s="485">
        <f t="shared" si="0"/>
        <v>38</v>
      </c>
      <c r="L24" s="485">
        <f t="shared" si="0"/>
        <v>25</v>
      </c>
      <c r="M24" s="485">
        <f t="shared" si="0"/>
        <v>37</v>
      </c>
      <c r="N24" s="485">
        <f t="shared" si="0"/>
        <v>439.25</v>
      </c>
      <c r="O24" s="485">
        <f t="shared" si="0"/>
        <v>5621517.0768</v>
      </c>
      <c r="P24" s="485">
        <f t="shared" si="0"/>
        <v>0</v>
      </c>
      <c r="Q24" s="485">
        <f t="shared" si="0"/>
        <v>0</v>
      </c>
      <c r="R24" s="485">
        <f t="shared" si="0"/>
        <v>0</v>
      </c>
      <c r="S24" s="485">
        <f t="shared" si="0"/>
        <v>0</v>
      </c>
      <c r="T24" s="485">
        <f t="shared" si="0"/>
        <v>29934</v>
      </c>
      <c r="U24" s="485">
        <f t="shared" si="0"/>
        <v>4433</v>
      </c>
      <c r="V24" s="485">
        <f t="shared" si="0"/>
        <v>17861</v>
      </c>
      <c r="W24" s="485">
        <f t="shared" si="0"/>
        <v>52228</v>
      </c>
      <c r="X24" s="485">
        <f t="shared" si="0"/>
        <v>4280</v>
      </c>
      <c r="Y24" s="485">
        <f t="shared" si="0"/>
        <v>22082</v>
      </c>
      <c r="Z24" s="485">
        <f t="shared" si="0"/>
        <v>237808</v>
      </c>
      <c r="AA24" s="485">
        <f t="shared" si="0"/>
        <v>264170</v>
      </c>
      <c r="AB24" s="485">
        <f t="shared" si="0"/>
        <v>0</v>
      </c>
      <c r="AC24" s="485">
        <f t="shared" si="0"/>
        <v>46040</v>
      </c>
      <c r="AD24" s="485">
        <f t="shared" si="0"/>
        <v>886531</v>
      </c>
      <c r="AE24" s="485">
        <f t="shared" si="0"/>
        <v>932571</v>
      </c>
      <c r="AF24" s="485">
        <f t="shared" si="0"/>
        <v>0</v>
      </c>
      <c r="AG24" s="485">
        <f t="shared" si="0"/>
        <v>0</v>
      </c>
      <c r="AH24" s="485">
        <f t="shared" si="0"/>
        <v>0</v>
      </c>
      <c r="AI24" s="485">
        <f t="shared" si="0"/>
        <v>6870486.0768</v>
      </c>
      <c r="AJ24" s="486"/>
      <c r="AK24" s="487"/>
      <c r="CV24" t="str">
        <f>B24</f>
        <v>Special Total</v>
      </c>
      <c r="CX24" s="488">
        <f>'Table 2'!AU133</f>
        <v>5621517.0768</v>
      </c>
      <c r="CY24" s="488">
        <f>'Table 2'!AV133</f>
        <v>0</v>
      </c>
      <c r="CZ24" s="488">
        <f>'Table 2'!AX133</f>
        <v>0</v>
      </c>
      <c r="DA24" s="489"/>
      <c r="DB24" s="488">
        <f>'Table 2'!BB133</f>
        <v>52228</v>
      </c>
      <c r="DC24" s="488">
        <f>'Table 2'!BC133</f>
        <v>264170</v>
      </c>
      <c r="DD24" s="488">
        <f>'Table 2'!BD133</f>
        <v>932571</v>
      </c>
      <c r="DE24" s="488">
        <f>'Table 2'!BE133</f>
        <v>0</v>
      </c>
      <c r="DF24" s="488">
        <f>'Table 2'!BF133</f>
        <v>0</v>
      </c>
      <c r="DG24" s="488">
        <f>'Table 2'!BG133</f>
        <v>6870486.0768</v>
      </c>
      <c r="DH24" s="488">
        <f>'Table 2'!BH133</f>
        <v>439.25</v>
      </c>
      <c r="DI24" s="434">
        <f>IF(OR(LEFT(CX24,1)="E",LEFT(CY24,1)="E",LEFT(CZ24,1)="E",LEFT(DB24,1)="E",LEFT(DC24,1)="E",LEFT(DD24,1)="E",LEFT(DE24,1)="E",LEFT(DF24,1)="E",LEFT(DG24,1)="E",LEFT(DH24,1)="E"),1,0)</f>
        <v>0</v>
      </c>
    </row>
    <row r="25" ht="13.5" thickTop="1"/>
    <row r="26" spans="15:23" ht="12.75">
      <c r="O26" s="316">
        <v>-4.923200000077486</v>
      </c>
      <c r="W26" s="316">
        <v>0</v>
      </c>
    </row>
  </sheetData>
  <sheetProtection/>
  <mergeCells count="100">
    <mergeCell ref="AC9:AC13"/>
    <mergeCell ref="AC15:AC16"/>
    <mergeCell ref="AJ8:AJ14"/>
    <mergeCell ref="AI8:AI14"/>
    <mergeCell ref="AF15:AF16"/>
    <mergeCell ref="AI15:AI16"/>
    <mergeCell ref="AH15:AH16"/>
    <mergeCell ref="AK8:AK14"/>
    <mergeCell ref="AF8:AG8"/>
    <mergeCell ref="AG9:AG14"/>
    <mergeCell ref="AH1:AH7"/>
    <mergeCell ref="AI1:AI7"/>
    <mergeCell ref="AH8:AH14"/>
    <mergeCell ref="AA15:AA16"/>
    <mergeCell ref="X8:AA8"/>
    <mergeCell ref="X9:X13"/>
    <mergeCell ref="AA9:AA14"/>
    <mergeCell ref="Y9:Y13"/>
    <mergeCell ref="Z15:Z16"/>
    <mergeCell ref="AE1:AE7"/>
    <mergeCell ref="AG1:AG7"/>
    <mergeCell ref="AG15:AG16"/>
    <mergeCell ref="AF9:AF13"/>
    <mergeCell ref="AE15:AE16"/>
    <mergeCell ref="AB8:AE8"/>
    <mergeCell ref="AB9:AB13"/>
    <mergeCell ref="AD9:AD13"/>
    <mergeCell ref="AE9:AE14"/>
    <mergeCell ref="AD15:AD16"/>
    <mergeCell ref="AB15:AB16"/>
    <mergeCell ref="AA1:AA7"/>
    <mergeCell ref="R8:S8"/>
    <mergeCell ref="T8:W8"/>
    <mergeCell ref="R15:R16"/>
    <mergeCell ref="Z9:Z13"/>
    <mergeCell ref="S1:S7"/>
    <mergeCell ref="W1:W7"/>
    <mergeCell ref="S9:S14"/>
    <mergeCell ref="S15:S16"/>
    <mergeCell ref="G9:G13"/>
    <mergeCell ref="H9:H13"/>
    <mergeCell ref="I9:I13"/>
    <mergeCell ref="G15:G16"/>
    <mergeCell ref="H15:H16"/>
    <mergeCell ref="I15:I16"/>
    <mergeCell ref="N15:N16"/>
    <mergeCell ref="T15:T16"/>
    <mergeCell ref="V15:V16"/>
    <mergeCell ref="Q15:Q16"/>
    <mergeCell ref="P15:P16"/>
    <mergeCell ref="O15:O16"/>
    <mergeCell ref="U15:U16"/>
    <mergeCell ref="J15:J16"/>
    <mergeCell ref="K15:K16"/>
    <mergeCell ref="L15:L16"/>
    <mergeCell ref="M15:M16"/>
    <mergeCell ref="W15:W16"/>
    <mergeCell ref="Y15:Y16"/>
    <mergeCell ref="X15:X16"/>
    <mergeCell ref="W9:W14"/>
    <mergeCell ref="R9:R13"/>
    <mergeCell ref="T9:T13"/>
    <mergeCell ref="V9:V13"/>
    <mergeCell ref="U9:U13"/>
    <mergeCell ref="I6:J6"/>
    <mergeCell ref="K6:M6"/>
    <mergeCell ref="P8:Q8"/>
    <mergeCell ref="Q9:Q14"/>
    <mergeCell ref="P9:P13"/>
    <mergeCell ref="N9:N14"/>
    <mergeCell ref="O9:O14"/>
    <mergeCell ref="J9:J13"/>
    <mergeCell ref="O1:O7"/>
    <mergeCell ref="K9:K13"/>
    <mergeCell ref="F15:F16"/>
    <mergeCell ref="E15:E16"/>
    <mergeCell ref="Q1:Q7"/>
    <mergeCell ref="D8:O8"/>
    <mergeCell ref="F3:M3"/>
    <mergeCell ref="D5:F5"/>
    <mergeCell ref="I5:J5"/>
    <mergeCell ref="K5:M5"/>
    <mergeCell ref="A2:D2"/>
    <mergeCell ref="N1:N7"/>
    <mergeCell ref="L9:L13"/>
    <mergeCell ref="M9:M13"/>
    <mergeCell ref="A1:D1"/>
    <mergeCell ref="A3:E3"/>
    <mergeCell ref="D6:F6"/>
    <mergeCell ref="B9:C13"/>
    <mergeCell ref="D9:D13"/>
    <mergeCell ref="E9:E13"/>
    <mergeCell ref="F9:F13"/>
    <mergeCell ref="A13:A16"/>
    <mergeCell ref="D15:D16"/>
    <mergeCell ref="C15:C16"/>
    <mergeCell ref="B8:C8"/>
    <mergeCell ref="B24:C24"/>
    <mergeCell ref="B14:C14"/>
    <mergeCell ref="B15:B16"/>
  </mergeCells>
  <conditionalFormatting sqref="A6 C6">
    <cfRule type="expression" priority="1" dxfId="1" stopIfTrue="1">
      <formula>LEFT(CV6,1)="E"</formula>
    </cfRule>
  </conditionalFormatting>
  <conditionalFormatting sqref="B6 D6:F6 K5:M5">
    <cfRule type="expression" priority="2" dxfId="1" stopIfTrue="1">
      <formula>LEFT(CV5,1)="E"</formula>
    </cfRule>
  </conditionalFormatting>
  <conditionalFormatting sqref="G6">
    <cfRule type="expression" priority="3" dxfId="2" stopIfTrue="1">
      <formula>LEFT(DB6,1)="W"</formula>
    </cfRule>
  </conditionalFormatting>
  <conditionalFormatting sqref="H6 K6:M6">
    <cfRule type="expression" priority="4" dxfId="2" stopIfTrue="1">
      <formula>LEFT(DB6,1)="W"</formula>
    </cfRule>
  </conditionalFormatting>
  <conditionalFormatting sqref="I6:J6">
    <cfRule type="expression" priority="5" dxfId="2" stopIfTrue="1">
      <formula>LEFT(DE6,1)="W"</formula>
    </cfRule>
  </conditionalFormatting>
  <conditionalFormatting sqref="I5:J5">
    <cfRule type="expression" priority="6" dxfId="1" stopIfTrue="1">
      <formula>LEFT(DE5,1)="E"</formula>
    </cfRule>
  </conditionalFormatting>
  <conditionalFormatting sqref="A1:D1">
    <cfRule type="expression" priority="7" dxfId="3" stopIfTrue="1">
      <formula>DI1&lt;&gt;0</formula>
    </cfRule>
    <cfRule type="expression" priority="8" dxfId="4" stopIfTrue="1">
      <formula>DI1=0</formula>
    </cfRule>
  </conditionalFormatting>
  <conditionalFormatting sqref="O24 O18:O22">
    <cfRule type="expression" priority="9" dxfId="0" stopIfTrue="1">
      <formula>AND(LEFT(CX18,1)="E",O18="")</formula>
    </cfRule>
    <cfRule type="expression" priority="10" dxfId="1" stopIfTrue="1">
      <formula>LEFT(CX18,1)="E"</formula>
    </cfRule>
    <cfRule type="expression" priority="11" dxfId="2" stopIfTrue="1">
      <formula>LEFT(CX18,1)="W"</formula>
    </cfRule>
  </conditionalFormatting>
  <conditionalFormatting sqref="AE24 AE18:AE22">
    <cfRule type="expression" priority="12" dxfId="0" stopIfTrue="1">
      <formula>AND(LEFT(DD18,1)="E",AE18="")</formula>
    </cfRule>
    <cfRule type="expression" priority="13" dxfId="1" stopIfTrue="1">
      <formula>LEFT(DD18,1)="E"</formula>
    </cfRule>
    <cfRule type="expression" priority="14" dxfId="2" stopIfTrue="1">
      <formula>LEFT(DD18,1)="W"</formula>
    </cfRule>
  </conditionalFormatting>
  <conditionalFormatting sqref="Q24 Q18:Q22">
    <cfRule type="expression" priority="15" dxfId="0" stopIfTrue="1">
      <formula>AND(LEFT(CY18,1)="E",Q18="")</formula>
    </cfRule>
    <cfRule type="expression" priority="16" dxfId="1" stopIfTrue="1">
      <formula>LEFT(CY18,1)="E"</formula>
    </cfRule>
    <cfRule type="expression" priority="17" dxfId="2" stopIfTrue="1">
      <formula>LEFT(CY18,1)="W"</formula>
    </cfRule>
  </conditionalFormatting>
  <conditionalFormatting sqref="S24 S18:S22">
    <cfRule type="expression" priority="18" dxfId="0" stopIfTrue="1">
      <formula>AND(LEFT(CZ18,1)="E",S18="")</formula>
    </cfRule>
    <cfRule type="expression" priority="19" dxfId="1" stopIfTrue="1">
      <formula>LEFT(CZ18,1)="E"</formula>
    </cfRule>
    <cfRule type="expression" priority="20" dxfId="2" stopIfTrue="1">
      <formula>LEFT(CZ18,1)="W"</formula>
    </cfRule>
  </conditionalFormatting>
  <conditionalFormatting sqref="W24 W18:W22">
    <cfRule type="expression" priority="21" dxfId="0" stopIfTrue="1">
      <formula>AND(LEFT(DB18,1)="E",W18="")</formula>
    </cfRule>
    <cfRule type="expression" priority="22" dxfId="1" stopIfTrue="1">
      <formula>LEFT(DB18,1)="E"</formula>
    </cfRule>
    <cfRule type="expression" priority="23" dxfId="2" stopIfTrue="1">
      <formula>LEFT(DB18,1)="W"</formula>
    </cfRule>
  </conditionalFormatting>
  <conditionalFormatting sqref="AA24 AA18:AA22">
    <cfRule type="expression" priority="24" dxfId="0" stopIfTrue="1">
      <formula>AND(LEFT(DC18,1)="E",AA18="")</formula>
    </cfRule>
    <cfRule type="expression" priority="25" dxfId="1" stopIfTrue="1">
      <formula>LEFT(DC18,1)="E"</formula>
    </cfRule>
    <cfRule type="expression" priority="26" dxfId="2" stopIfTrue="1">
      <formula>LEFT(DC18,1)="W"</formula>
    </cfRule>
  </conditionalFormatting>
  <conditionalFormatting sqref="AG24:AI24 AG18:AI22">
    <cfRule type="expression" priority="27" dxfId="0" stopIfTrue="1">
      <formula>AND(LEFT(DE18,1)="E",AG18="")</formula>
    </cfRule>
    <cfRule type="expression" priority="28" dxfId="1" stopIfTrue="1">
      <formula>LEFT(DE18,1)="E"</formula>
    </cfRule>
    <cfRule type="expression" priority="29" dxfId="2" stopIfTrue="1">
      <formula>LEFT(DE18,1)="W"</formula>
    </cfRule>
  </conditionalFormatting>
  <conditionalFormatting sqref="N24 N18:N22">
    <cfRule type="expression" priority="30" dxfId="0" stopIfTrue="1">
      <formula>AND(LEFT(DH18,1)="E",N18="")</formula>
    </cfRule>
    <cfRule type="expression" priority="31" dxfId="1" stopIfTrue="1">
      <formula>LEFT(DH18,1)="E"</formula>
    </cfRule>
    <cfRule type="expression" priority="32" dxfId="2" stopIfTrue="1">
      <formula>LEFT(DH18,1)="W"</formula>
    </cfRule>
  </conditionalFormatting>
  <conditionalFormatting sqref="B18:C22">
    <cfRule type="expression" priority="33" dxfId="1" stopIfTrue="1">
      <formula>LEFT(CV18,1)="E"</formula>
    </cfRule>
    <cfRule type="expression" priority="34" dxfId="2" stopIfTrue="1">
      <formula>LEFT(CV18,1)="W"</formula>
    </cfRule>
  </conditionalFormatting>
  <printOptions/>
  <pageMargins left="0.19" right="0.17" top="0.29" bottom="1" header="0.17" footer="0.5"/>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sheetPr codeName="Sheet10"/>
  <dimension ref="A2:AC553"/>
  <sheetViews>
    <sheetView showGridLines="0" workbookViewId="0" topLeftCell="A1">
      <selection activeCell="A5" sqref="A5:O6"/>
    </sheetView>
  </sheetViews>
  <sheetFormatPr defaultColWidth="9.140625" defaultRowHeight="12.75"/>
  <cols>
    <col min="1" max="1" width="7.00390625" style="3" customWidth="1"/>
    <col min="2" max="2" width="9.00390625" style="3" customWidth="1"/>
    <col min="3" max="3" width="10.140625" style="3" customWidth="1"/>
    <col min="4" max="4" width="12.421875" style="3" customWidth="1"/>
    <col min="5" max="5" width="9.8515625" style="3" customWidth="1"/>
    <col min="6" max="6" width="12.28125" style="3" customWidth="1"/>
    <col min="7" max="7" width="12.00390625" style="6" customWidth="1"/>
    <col min="8" max="8" width="1.57421875" style="3" customWidth="1"/>
    <col min="9" max="9" width="13.8515625" style="7" customWidth="1"/>
    <col min="10" max="10" width="3.140625" style="3" customWidth="1"/>
    <col min="11" max="11" width="10.57421875" style="33" customWidth="1"/>
    <col min="12" max="12" width="1.57421875" style="3" customWidth="1"/>
    <col min="13" max="13" width="14.28125" style="9" customWidth="1"/>
    <col min="14" max="14" width="1.57421875" style="3" customWidth="1"/>
    <col min="15" max="15" width="21.140625" style="6" customWidth="1"/>
    <col min="16" max="16" width="27.8515625" style="3" bestFit="1" customWidth="1"/>
    <col min="17" max="26" width="9.140625" style="3" customWidth="1"/>
    <col min="27" max="27" width="9.8515625" style="3" bestFit="1" customWidth="1"/>
    <col min="28" max="16384" width="9.140625" style="3" customWidth="1"/>
  </cols>
  <sheetData>
    <row r="1" ht="12.75"/>
    <row r="2" spans="1:5" ht="27" customHeight="1" thickBot="1">
      <c r="A2" s="1388" t="s">
        <v>63</v>
      </c>
      <c r="B2" s="1388"/>
      <c r="C2" s="1388"/>
      <c r="D2" s="1388"/>
      <c r="E2" s="1388"/>
    </row>
    <row r="3" spans="1:15" ht="15" customHeight="1" thickBot="1">
      <c r="A3" s="1338" t="s">
        <v>64</v>
      </c>
      <c r="B3" s="1339"/>
      <c r="C3" s="1339"/>
      <c r="D3" s="1339"/>
      <c r="E3" s="1339"/>
      <c r="F3" s="1339"/>
      <c r="G3" s="1339"/>
      <c r="H3" s="4"/>
      <c r="I3" s="1340" t="s">
        <v>65</v>
      </c>
      <c r="J3" s="1340"/>
      <c r="K3" s="1340"/>
      <c r="L3" s="1340"/>
      <c r="M3" s="1340"/>
      <c r="N3" s="1340"/>
      <c r="O3" s="1341"/>
    </row>
    <row r="4" spans="3:5" ht="12.75" customHeight="1" thickBot="1">
      <c r="C4" s="5"/>
      <c r="D4" s="5"/>
      <c r="E4" s="5"/>
    </row>
    <row r="5" spans="1:15" s="36" customFormat="1" ht="36.75" customHeight="1" thickBot="1">
      <c r="A5" s="1335" t="s">
        <v>804</v>
      </c>
      <c r="B5" s="1325"/>
      <c r="C5" s="1156" t="s">
        <v>805</v>
      </c>
      <c r="D5" s="1342"/>
      <c r="E5" s="11" t="s">
        <v>806</v>
      </c>
      <c r="F5" s="1343" t="s">
        <v>807</v>
      </c>
      <c r="G5" s="1008"/>
      <c r="H5" s="1009"/>
      <c r="I5" s="1344" t="s">
        <v>808</v>
      </c>
      <c r="J5" s="1345"/>
      <c r="K5" s="34">
        <v>334</v>
      </c>
      <c r="L5" s="1323" t="s">
        <v>809</v>
      </c>
      <c r="M5" s="1324"/>
      <c r="N5" s="1325"/>
      <c r="O5" s="35"/>
    </row>
    <row r="6" spans="1:15" s="36" customFormat="1" ht="12.75" customHeight="1" thickBot="1">
      <c r="A6" s="1335" t="s">
        <v>810</v>
      </c>
      <c r="B6" s="1325"/>
      <c r="C6" s="1336"/>
      <c r="D6" s="1337"/>
      <c r="E6" s="13" t="s">
        <v>811</v>
      </c>
      <c r="F6" s="1346"/>
      <c r="G6" s="1347"/>
      <c r="H6" s="1348"/>
      <c r="I6" s="1349" t="s">
        <v>813</v>
      </c>
      <c r="J6" s="1350"/>
      <c r="K6" s="37">
        <v>4</v>
      </c>
      <c r="L6" s="1323" t="s">
        <v>814</v>
      </c>
      <c r="M6" s="1324"/>
      <c r="N6" s="1325"/>
      <c r="O6" s="38">
        <v>40022</v>
      </c>
    </row>
    <row r="7" spans="3:11" ht="12.75" customHeight="1">
      <c r="C7" s="39"/>
      <c r="D7" s="39"/>
      <c r="E7" s="39"/>
      <c r="F7" s="39"/>
      <c r="G7" s="40"/>
      <c r="H7" s="39"/>
      <c r="I7" s="41"/>
      <c r="J7" s="39"/>
      <c r="K7" s="42"/>
    </row>
    <row r="8" spans="3:15" ht="17.25" customHeight="1">
      <c r="C8" s="1351" t="s">
        <v>66</v>
      </c>
      <c r="D8" s="1351"/>
      <c r="E8" s="1351"/>
      <c r="F8" s="1352"/>
      <c r="G8" s="1352"/>
      <c r="H8" s="1352"/>
      <c r="I8" s="1352"/>
      <c r="J8" s="1352"/>
      <c r="K8" s="1352"/>
      <c r="O8" s="43"/>
    </row>
    <row r="9" spans="3:15" ht="12.75" customHeight="1">
      <c r="C9" s="44"/>
      <c r="D9" s="44"/>
      <c r="E9" s="44"/>
      <c r="O9" s="3"/>
    </row>
    <row r="10" spans="2:15" ht="15.75" customHeight="1">
      <c r="B10" s="1353" t="s">
        <v>67</v>
      </c>
      <c r="C10" s="1353"/>
      <c r="D10" s="1353"/>
      <c r="E10" s="1353"/>
      <c r="F10" s="1353"/>
      <c r="G10" s="1353"/>
      <c r="H10" s="1353"/>
      <c r="I10" s="1353"/>
      <c r="J10" s="1353"/>
      <c r="O10" s="3"/>
    </row>
    <row r="11" spans="2:13" s="45" customFormat="1" ht="12.75" customHeight="1">
      <c r="B11" s="1354" t="s">
        <v>68</v>
      </c>
      <c r="C11" s="1355"/>
      <c r="D11" s="1355"/>
      <c r="E11" s="1355"/>
      <c r="F11" s="1355"/>
      <c r="G11" s="1355"/>
      <c r="H11" s="1355"/>
      <c r="I11" s="1355"/>
      <c r="J11" s="1356"/>
      <c r="K11" s="33"/>
      <c r="M11" s="46"/>
    </row>
    <row r="12" spans="3:15" ht="8.25" customHeight="1">
      <c r="C12" s="44"/>
      <c r="D12" s="44"/>
      <c r="E12" s="47"/>
      <c r="K12" s="48"/>
      <c r="O12" s="3"/>
    </row>
    <row r="13" spans="3:15" ht="66.75" customHeight="1">
      <c r="C13" s="44"/>
      <c r="D13" s="44"/>
      <c r="E13" s="44"/>
      <c r="G13" s="49" t="s">
        <v>69</v>
      </c>
      <c r="I13" s="49" t="s">
        <v>70</v>
      </c>
      <c r="J13" s="50"/>
      <c r="K13" s="49" t="s">
        <v>71</v>
      </c>
      <c r="M13" s="49" t="s">
        <v>72</v>
      </c>
      <c r="N13" s="51"/>
      <c r="O13" s="52"/>
    </row>
    <row r="14" spans="3:14" s="15" customFormat="1" ht="12.75" customHeight="1">
      <c r="C14" s="47"/>
      <c r="D14" s="47"/>
      <c r="E14" s="47"/>
      <c r="G14" s="53"/>
      <c r="I14" s="54"/>
      <c r="J14" s="55"/>
      <c r="K14" s="56"/>
      <c r="M14" s="57"/>
      <c r="N14" s="58"/>
    </row>
    <row r="15" spans="2:13" s="59" customFormat="1" ht="12.75" customHeight="1">
      <c r="B15" s="60"/>
      <c r="C15" s="60"/>
      <c r="D15" s="60"/>
      <c r="E15" s="60"/>
      <c r="F15" s="60"/>
      <c r="G15" s="61"/>
      <c r="H15" s="60"/>
      <c r="I15" s="62"/>
      <c r="J15" s="60"/>
      <c r="K15" s="63"/>
      <c r="M15" s="64"/>
    </row>
    <row r="16" spans="2:15" ht="27" customHeight="1" thickBot="1">
      <c r="B16" s="1357" t="s">
        <v>73</v>
      </c>
      <c r="C16" s="1358"/>
      <c r="D16" s="1358"/>
      <c r="E16" s="1358"/>
      <c r="F16" s="1359"/>
      <c r="G16" s="68" t="s">
        <v>74</v>
      </c>
      <c r="H16" s="69"/>
      <c r="I16" s="70"/>
      <c r="J16" s="71"/>
      <c r="K16" s="63"/>
      <c r="O16" s="3"/>
    </row>
    <row r="17" spans="3:29" s="59" customFormat="1" ht="37.5" customHeight="1" thickBot="1">
      <c r="C17" s="72" t="s">
        <v>75</v>
      </c>
      <c r="D17" s="73" t="s">
        <v>76</v>
      </c>
      <c r="E17" s="1361" t="s">
        <v>378</v>
      </c>
      <c r="F17" s="1362"/>
      <c r="G17" s="74"/>
      <c r="H17" s="75"/>
      <c r="I17" s="70"/>
      <c r="J17" s="75"/>
      <c r="K17" s="63"/>
      <c r="M17" s="64"/>
      <c r="O17" s="49" t="s">
        <v>77</v>
      </c>
      <c r="P17" s="76">
        <v>0</v>
      </c>
      <c r="Q17" s="1290" t="s">
        <v>78</v>
      </c>
      <c r="R17" s="1291"/>
      <c r="S17" s="1290" t="s">
        <v>79</v>
      </c>
      <c r="T17" s="1291"/>
      <c r="U17" s="1292" t="s">
        <v>80</v>
      </c>
      <c r="V17" s="1293"/>
      <c r="W17" s="1293"/>
      <c r="X17" s="1294"/>
      <c r="Y17" s="1290" t="s">
        <v>81</v>
      </c>
      <c r="Z17" s="1295"/>
      <c r="AA17" s="1291"/>
      <c r="AB17" s="1290" t="s">
        <v>82</v>
      </c>
      <c r="AC17" s="1291"/>
    </row>
    <row r="18" spans="3:29" s="59" customFormat="1" ht="12.75" customHeight="1" thickBot="1">
      <c r="C18" s="77"/>
      <c r="D18" s="78"/>
      <c r="E18" s="78"/>
      <c r="F18" s="77"/>
      <c r="G18" s="74"/>
      <c r="H18" s="75"/>
      <c r="I18" s="79"/>
      <c r="J18" s="75"/>
      <c r="K18" s="63"/>
      <c r="M18" s="64"/>
      <c r="O18" s="64"/>
      <c r="P18" s="80" t="s">
        <v>83</v>
      </c>
      <c r="Q18" s="81">
        <v>3</v>
      </c>
      <c r="R18" s="81">
        <v>4</v>
      </c>
      <c r="S18" s="81">
        <v>5</v>
      </c>
      <c r="T18" s="81">
        <v>6</v>
      </c>
      <c r="U18" s="81">
        <v>7</v>
      </c>
      <c r="V18" s="81">
        <v>8</v>
      </c>
      <c r="W18" s="81">
        <v>9</v>
      </c>
      <c r="X18" s="81">
        <v>10</v>
      </c>
      <c r="Y18" s="81">
        <v>11</v>
      </c>
      <c r="Z18" s="81">
        <v>12</v>
      </c>
      <c r="AA18" s="81">
        <v>13</v>
      </c>
      <c r="AB18" s="81">
        <v>14</v>
      </c>
      <c r="AC18" s="81">
        <v>15</v>
      </c>
    </row>
    <row r="19" spans="3:29" ht="12.75" customHeight="1">
      <c r="C19" s="82" t="s">
        <v>84</v>
      </c>
      <c r="D19" s="83" t="s">
        <v>85</v>
      </c>
      <c r="E19" s="1304" t="s">
        <v>86</v>
      </c>
      <c r="F19" s="1305"/>
      <c r="G19" s="85"/>
      <c r="H19" s="86"/>
      <c r="I19" s="87"/>
      <c r="J19" s="88"/>
      <c r="K19" s="89" t="s">
        <v>85</v>
      </c>
      <c r="O19" s="90"/>
      <c r="P19" s="91" t="s">
        <v>87</v>
      </c>
      <c r="Q19" s="92">
        <v>0</v>
      </c>
      <c r="R19" s="92">
        <v>1179.99</v>
      </c>
      <c r="S19" s="92">
        <v>1179.99</v>
      </c>
      <c r="T19" s="92">
        <v>1179.99</v>
      </c>
      <c r="U19" s="92">
        <v>1179.99</v>
      </c>
      <c r="V19" s="92">
        <v>1179.99</v>
      </c>
      <c r="W19" s="92">
        <v>1179.99</v>
      </c>
      <c r="X19" s="92">
        <v>1179.99</v>
      </c>
      <c r="Y19" s="92">
        <v>1179.99</v>
      </c>
      <c r="Z19" s="92">
        <v>1179.99</v>
      </c>
      <c r="AA19" s="92">
        <v>1179.99</v>
      </c>
      <c r="AB19" s="92">
        <v>1179.99</v>
      </c>
      <c r="AC19" s="92">
        <v>1179.99</v>
      </c>
    </row>
    <row r="20" spans="3:29" ht="12.75" customHeight="1">
      <c r="C20" s="82"/>
      <c r="D20" s="83" t="s">
        <v>85</v>
      </c>
      <c r="E20" s="1304" t="s">
        <v>88</v>
      </c>
      <c r="F20" s="1305"/>
      <c r="G20" s="85"/>
      <c r="H20" s="86"/>
      <c r="I20" s="93">
        <v>173.22</v>
      </c>
      <c r="J20" s="88"/>
      <c r="K20" s="94">
        <v>0</v>
      </c>
      <c r="M20" s="95"/>
      <c r="O20" s="90">
        <v>1058.5</v>
      </c>
      <c r="P20" s="96" t="s">
        <v>89</v>
      </c>
      <c r="Q20" s="92">
        <v>0</v>
      </c>
      <c r="R20" s="92">
        <v>337.58</v>
      </c>
      <c r="S20" s="92">
        <v>337.58</v>
      </c>
      <c r="T20" s="92">
        <v>337.58</v>
      </c>
      <c r="U20" s="92">
        <v>323.78</v>
      </c>
      <c r="V20" s="92">
        <v>323.78</v>
      </c>
      <c r="W20" s="92">
        <v>323.78</v>
      </c>
      <c r="X20" s="92">
        <v>323.78</v>
      </c>
      <c r="Y20" s="92">
        <v>888.78</v>
      </c>
      <c r="Z20" s="92">
        <v>888.78</v>
      </c>
      <c r="AA20" s="92">
        <v>888.78</v>
      </c>
      <c r="AB20" s="92">
        <v>1226.25</v>
      </c>
      <c r="AC20" s="92">
        <v>1226.25</v>
      </c>
    </row>
    <row r="21" spans="3:29" ht="12.75" customHeight="1">
      <c r="C21" s="82" t="s">
        <v>84</v>
      </c>
      <c r="D21" s="83" t="s">
        <v>90</v>
      </c>
      <c r="E21" s="1304"/>
      <c r="F21" s="1305"/>
      <c r="G21" s="85">
        <v>1.2982106337086603</v>
      </c>
      <c r="H21" s="86"/>
      <c r="I21" s="93">
        <v>2786.7</v>
      </c>
      <c r="J21" s="88"/>
      <c r="O21" s="90">
        <v>2519</v>
      </c>
      <c r="P21" s="97" t="s">
        <v>91</v>
      </c>
      <c r="Q21" s="92">
        <v>120.77</v>
      </c>
      <c r="R21" s="92">
        <v>277.45</v>
      </c>
      <c r="S21" s="92">
        <v>277.45</v>
      </c>
      <c r="T21" s="92">
        <v>277.45</v>
      </c>
      <c r="U21" s="92">
        <v>257.49</v>
      </c>
      <c r="V21" s="92">
        <v>257.49</v>
      </c>
      <c r="W21" s="92">
        <v>257.49</v>
      </c>
      <c r="X21" s="92">
        <v>257.49</v>
      </c>
      <c r="Y21" s="92">
        <v>221.39</v>
      </c>
      <c r="Z21" s="92">
        <v>221.39</v>
      </c>
      <c r="AA21" s="92">
        <v>221.39</v>
      </c>
      <c r="AB21" s="92">
        <v>226.64</v>
      </c>
      <c r="AC21" s="92">
        <v>226.64</v>
      </c>
    </row>
    <row r="22" spans="3:29" ht="12.75" customHeight="1">
      <c r="C22" s="82">
        <v>1</v>
      </c>
      <c r="D22" s="84">
        <v>1</v>
      </c>
      <c r="E22" s="1363">
        <v>5</v>
      </c>
      <c r="F22" s="1305"/>
      <c r="G22" s="85">
        <v>1.0252309498409085</v>
      </c>
      <c r="H22" s="86"/>
      <c r="I22" s="98">
        <v>2200.73</v>
      </c>
      <c r="J22" s="88"/>
      <c r="O22" s="90">
        <v>2482</v>
      </c>
      <c r="P22" s="99" t="s">
        <v>92</v>
      </c>
      <c r="Q22" s="92">
        <v>0</v>
      </c>
      <c r="R22" s="92">
        <v>81.13</v>
      </c>
      <c r="S22" s="92">
        <v>81.13</v>
      </c>
      <c r="T22" s="92">
        <v>81.13</v>
      </c>
      <c r="U22" s="92">
        <v>70.8</v>
      </c>
      <c r="V22" s="92">
        <v>70.8</v>
      </c>
      <c r="W22" s="92">
        <v>70.8</v>
      </c>
      <c r="X22" s="92">
        <v>70.8</v>
      </c>
      <c r="Y22" s="92">
        <v>70.8</v>
      </c>
      <c r="Z22" s="92">
        <v>70.8</v>
      </c>
      <c r="AA22" s="92">
        <v>70.8</v>
      </c>
      <c r="AB22" s="92">
        <v>70.8</v>
      </c>
      <c r="AC22" s="92">
        <v>70.8</v>
      </c>
    </row>
    <row r="23" spans="4:29" ht="12.75" customHeight="1">
      <c r="D23" s="100">
        <v>2</v>
      </c>
      <c r="E23" s="1300">
        <v>6</v>
      </c>
      <c r="F23" s="1301"/>
      <c r="G23" s="85">
        <v>1.0252309498409085</v>
      </c>
      <c r="H23" s="86"/>
      <c r="I23" s="98">
        <v>2200.73</v>
      </c>
      <c r="J23" s="88"/>
      <c r="O23" s="90">
        <v>2421</v>
      </c>
      <c r="P23" s="101" t="s">
        <v>93</v>
      </c>
      <c r="Q23" s="92">
        <v>0</v>
      </c>
      <c r="R23" s="92">
        <v>0</v>
      </c>
      <c r="S23" s="92">
        <v>0</v>
      </c>
      <c r="T23" s="92">
        <v>0</v>
      </c>
      <c r="U23" s="92">
        <v>0</v>
      </c>
      <c r="V23" s="92">
        <v>0</v>
      </c>
      <c r="W23" s="92">
        <v>0</v>
      </c>
      <c r="X23" s="92">
        <v>0</v>
      </c>
      <c r="Y23" s="92">
        <v>0</v>
      </c>
      <c r="Z23" s="92">
        <v>0</v>
      </c>
      <c r="AA23" s="92">
        <v>0</v>
      </c>
      <c r="AB23" s="92">
        <v>0</v>
      </c>
      <c r="AC23" s="92">
        <v>0</v>
      </c>
    </row>
    <row r="24" spans="3:29" ht="12.75" customHeight="1">
      <c r="C24" s="1299">
        <v>2</v>
      </c>
      <c r="D24" s="84">
        <v>3</v>
      </c>
      <c r="E24" s="1302">
        <v>7</v>
      </c>
      <c r="F24" s="1303"/>
      <c r="G24" s="85">
        <v>1.0366910932324593</v>
      </c>
      <c r="H24" s="86"/>
      <c r="I24" s="98">
        <v>2225.33</v>
      </c>
      <c r="J24" s="88"/>
      <c r="O24" s="90">
        <v>2300</v>
      </c>
      <c r="P24" s="102" t="s">
        <v>94</v>
      </c>
      <c r="Q24" s="92">
        <v>0</v>
      </c>
      <c r="R24" s="92">
        <v>0</v>
      </c>
      <c r="S24" s="92">
        <v>0</v>
      </c>
      <c r="T24" s="92">
        <v>0</v>
      </c>
      <c r="U24" s="92">
        <v>0</v>
      </c>
      <c r="V24" s="92">
        <v>0</v>
      </c>
      <c r="W24" s="92">
        <v>0</v>
      </c>
      <c r="X24" s="92">
        <v>0</v>
      </c>
      <c r="Y24" s="92">
        <v>0</v>
      </c>
      <c r="Z24" s="92">
        <v>0</v>
      </c>
      <c r="AA24" s="92">
        <v>0</v>
      </c>
      <c r="AB24" s="92">
        <v>0</v>
      </c>
      <c r="AC24" s="92">
        <v>0</v>
      </c>
    </row>
    <row r="25" spans="3:29" ht="12.75" customHeight="1">
      <c r="C25" s="1299"/>
      <c r="D25" s="84">
        <v>4</v>
      </c>
      <c r="E25" s="1304">
        <v>8</v>
      </c>
      <c r="F25" s="1305"/>
      <c r="G25" s="85">
        <v>1</v>
      </c>
      <c r="H25" s="86"/>
      <c r="I25" s="98">
        <v>2146.57</v>
      </c>
      <c r="J25" s="88"/>
      <c r="O25" s="90">
        <v>2373</v>
      </c>
      <c r="P25" s="103" t="s">
        <v>95</v>
      </c>
      <c r="Q25" s="92">
        <v>0</v>
      </c>
      <c r="R25" s="92">
        <v>0</v>
      </c>
      <c r="S25" s="92">
        <v>0</v>
      </c>
      <c r="T25" s="92">
        <v>0</v>
      </c>
      <c r="U25" s="92">
        <v>0</v>
      </c>
      <c r="V25" s="92">
        <v>0</v>
      </c>
      <c r="W25" s="92">
        <v>0</v>
      </c>
      <c r="X25" s="92">
        <v>0</v>
      </c>
      <c r="Y25" s="92">
        <v>0</v>
      </c>
      <c r="Z25" s="92">
        <v>0</v>
      </c>
      <c r="AA25" s="92">
        <v>0</v>
      </c>
      <c r="AB25" s="92">
        <v>0</v>
      </c>
      <c r="AC25" s="92">
        <v>0</v>
      </c>
    </row>
    <row r="26" spans="3:29" ht="12.75" customHeight="1">
      <c r="C26" s="1299"/>
      <c r="D26" s="84">
        <v>5</v>
      </c>
      <c r="E26" s="1304">
        <v>9</v>
      </c>
      <c r="F26" s="1305"/>
      <c r="G26" s="85">
        <v>1</v>
      </c>
      <c r="H26" s="86"/>
      <c r="I26" s="98">
        <v>2146.57</v>
      </c>
      <c r="J26" s="88"/>
      <c r="O26" s="90">
        <v>2417</v>
      </c>
      <c r="P26" s="104" t="s">
        <v>96</v>
      </c>
      <c r="Q26" s="92">
        <v>0</v>
      </c>
      <c r="R26" s="105">
        <v>62.53</v>
      </c>
      <c r="S26" s="105">
        <v>62.53</v>
      </c>
      <c r="T26" s="105">
        <v>62.53</v>
      </c>
      <c r="U26" s="105">
        <v>62.53</v>
      </c>
      <c r="V26" s="105">
        <v>62.53</v>
      </c>
      <c r="W26" s="105">
        <v>62.53</v>
      </c>
      <c r="X26" s="105">
        <v>62.53</v>
      </c>
      <c r="Y26" s="105">
        <v>128.54</v>
      </c>
      <c r="Z26" s="105">
        <v>128.54</v>
      </c>
      <c r="AA26" s="105">
        <v>128.54</v>
      </c>
      <c r="AB26" s="105">
        <v>44.86</v>
      </c>
      <c r="AC26" s="105">
        <v>44.86</v>
      </c>
    </row>
    <row r="27" spans="3:29" ht="12.75" customHeight="1">
      <c r="C27" s="1299"/>
      <c r="D27" s="100">
        <v>6</v>
      </c>
      <c r="E27" s="1300">
        <v>10</v>
      </c>
      <c r="F27" s="1301"/>
      <c r="G27" s="85">
        <v>1</v>
      </c>
      <c r="H27" s="86"/>
      <c r="I27" s="98">
        <v>2146.57</v>
      </c>
      <c r="J27" s="88"/>
      <c r="O27" s="90">
        <v>2540</v>
      </c>
      <c r="P27" s="106" t="s">
        <v>97</v>
      </c>
      <c r="Q27" s="92">
        <v>0</v>
      </c>
      <c r="R27" s="92">
        <v>0</v>
      </c>
      <c r="S27" s="92">
        <v>0</v>
      </c>
      <c r="T27" s="92">
        <v>0</v>
      </c>
      <c r="U27" s="92">
        <v>0</v>
      </c>
      <c r="V27" s="92">
        <v>0</v>
      </c>
      <c r="W27" s="92">
        <v>0</v>
      </c>
      <c r="X27" s="92">
        <v>0</v>
      </c>
      <c r="Y27" s="92">
        <v>0</v>
      </c>
      <c r="Z27" s="92">
        <v>0</v>
      </c>
      <c r="AA27" s="92">
        <v>0</v>
      </c>
      <c r="AB27" s="92">
        <v>88.18</v>
      </c>
      <c r="AC27" s="92">
        <v>88.18</v>
      </c>
    </row>
    <row r="28" spans="3:29" ht="12.75" customHeight="1">
      <c r="C28" s="1299">
        <v>3</v>
      </c>
      <c r="D28" s="84">
        <v>7</v>
      </c>
      <c r="E28" s="1302">
        <v>11</v>
      </c>
      <c r="F28" s="1303"/>
      <c r="G28" s="85">
        <v>1.3085573729251787</v>
      </c>
      <c r="H28" s="86"/>
      <c r="I28" s="98">
        <v>2808.91</v>
      </c>
      <c r="J28" s="88"/>
      <c r="O28" s="90">
        <v>2648</v>
      </c>
      <c r="P28" s="106" t="s">
        <v>98</v>
      </c>
      <c r="Q28" s="92">
        <v>0</v>
      </c>
      <c r="R28" s="92">
        <v>0</v>
      </c>
      <c r="S28" s="92">
        <v>0</v>
      </c>
      <c r="T28" s="92">
        <v>0</v>
      </c>
      <c r="U28" s="92">
        <v>0</v>
      </c>
      <c r="V28" s="92">
        <v>0</v>
      </c>
      <c r="W28" s="92">
        <v>0</v>
      </c>
      <c r="X28" s="92">
        <v>0</v>
      </c>
      <c r="Y28" s="92">
        <v>0</v>
      </c>
      <c r="Z28" s="92">
        <v>0</v>
      </c>
      <c r="AA28" s="92">
        <v>0</v>
      </c>
      <c r="AB28" s="92">
        <v>0</v>
      </c>
      <c r="AC28" s="92">
        <v>16.88</v>
      </c>
    </row>
    <row r="29" spans="3:29" ht="12.75" customHeight="1" thickBot="1">
      <c r="C29" s="1299"/>
      <c r="D29" s="84">
        <v>8</v>
      </c>
      <c r="E29" s="1304">
        <v>12</v>
      </c>
      <c r="F29" s="1305"/>
      <c r="G29" s="85">
        <v>1.3085573729251787</v>
      </c>
      <c r="H29" s="86"/>
      <c r="I29" s="98">
        <v>2808.91</v>
      </c>
      <c r="J29" s="88"/>
      <c r="K29" s="107" t="s">
        <v>99</v>
      </c>
      <c r="M29" s="108"/>
      <c r="O29" s="90">
        <v>2655</v>
      </c>
      <c r="P29" s="106" t="s">
        <v>100</v>
      </c>
      <c r="Q29" s="92">
        <v>0</v>
      </c>
      <c r="R29" s="92">
        <v>585.97</v>
      </c>
      <c r="S29" s="92">
        <v>0</v>
      </c>
      <c r="T29" s="92">
        <v>0</v>
      </c>
      <c r="U29" s="92">
        <v>0</v>
      </c>
      <c r="V29" s="92">
        <v>0</v>
      </c>
      <c r="W29" s="92">
        <v>0</v>
      </c>
      <c r="X29" s="92">
        <v>0</v>
      </c>
      <c r="Y29" s="92">
        <v>78.29</v>
      </c>
      <c r="Z29" s="92">
        <v>78.29</v>
      </c>
      <c r="AA29" s="92">
        <v>78.29</v>
      </c>
      <c r="AB29" s="92">
        <v>112.49</v>
      </c>
      <c r="AC29" s="92">
        <v>112.49</v>
      </c>
    </row>
    <row r="30" spans="3:29" ht="12.75" customHeight="1" thickBot="1">
      <c r="C30" s="1299"/>
      <c r="D30" s="100">
        <v>9</v>
      </c>
      <c r="E30" s="1300">
        <v>13</v>
      </c>
      <c r="F30" s="1301"/>
      <c r="G30" s="85">
        <v>1.3085573729251787</v>
      </c>
      <c r="H30" s="86"/>
      <c r="I30" s="98">
        <v>2808.91</v>
      </c>
      <c r="J30" s="88"/>
      <c r="K30" s="109">
        <f>+'Table 3a'!AC94</f>
        <v>38845846.96</v>
      </c>
      <c r="M30" s="110"/>
      <c r="O30" s="90">
        <v>2660</v>
      </c>
      <c r="P30" s="106" t="s">
        <v>101</v>
      </c>
      <c r="Q30" s="92">
        <v>6.53</v>
      </c>
      <c r="R30" s="92">
        <v>13.84</v>
      </c>
      <c r="S30" s="92">
        <v>13.84</v>
      </c>
      <c r="T30" s="92">
        <v>13.84</v>
      </c>
      <c r="U30" s="92">
        <v>13.84</v>
      </c>
      <c r="V30" s="92">
        <v>13.84</v>
      </c>
      <c r="W30" s="92">
        <v>13.84</v>
      </c>
      <c r="X30" s="92">
        <v>13.84</v>
      </c>
      <c r="Y30" s="92">
        <v>7.17</v>
      </c>
      <c r="Z30" s="92">
        <v>7.17</v>
      </c>
      <c r="AA30" s="92">
        <v>7.17</v>
      </c>
      <c r="AB30" s="92">
        <v>9.44</v>
      </c>
      <c r="AC30" s="92">
        <v>9.44</v>
      </c>
    </row>
    <row r="31" spans="3:29" ht="12.75" customHeight="1">
      <c r="C31" s="1299">
        <v>4</v>
      </c>
      <c r="D31" s="84">
        <v>10</v>
      </c>
      <c r="E31" s="1302">
        <v>14</v>
      </c>
      <c r="F31" s="1303"/>
      <c r="G31" s="85">
        <v>1.5062774565935426</v>
      </c>
      <c r="H31" s="86"/>
      <c r="I31" s="98">
        <v>3233.33</v>
      </c>
      <c r="J31" s="88"/>
      <c r="K31" s="111" t="s">
        <v>102</v>
      </c>
      <c r="O31" s="90">
        <v>2623</v>
      </c>
      <c r="P31" s="106" t="s">
        <v>103</v>
      </c>
      <c r="Q31" s="92">
        <v>0</v>
      </c>
      <c r="R31" s="92">
        <v>63.83</v>
      </c>
      <c r="S31" s="92">
        <v>63.83</v>
      </c>
      <c r="T31" s="92">
        <v>63.83</v>
      </c>
      <c r="U31" s="92">
        <v>39.48</v>
      </c>
      <c r="V31" s="92">
        <v>39.48</v>
      </c>
      <c r="W31" s="92">
        <v>39.48</v>
      </c>
      <c r="X31" s="92">
        <v>39.48</v>
      </c>
      <c r="Y31" s="92">
        <v>25.51</v>
      </c>
      <c r="Z31" s="92">
        <v>25.51</v>
      </c>
      <c r="AA31" s="92">
        <v>25.51</v>
      </c>
      <c r="AB31" s="92">
        <v>25.51</v>
      </c>
      <c r="AC31" s="92">
        <v>25.51</v>
      </c>
    </row>
    <row r="32" spans="3:29" ht="12.75" customHeight="1">
      <c r="C32" s="1299"/>
      <c r="D32" s="100">
        <v>11</v>
      </c>
      <c r="E32" s="1300">
        <v>15</v>
      </c>
      <c r="F32" s="1301"/>
      <c r="G32" s="85">
        <v>1.6202080528471006</v>
      </c>
      <c r="H32" s="86"/>
      <c r="I32" s="98">
        <v>3477.89</v>
      </c>
      <c r="J32" s="88"/>
      <c r="K32" s="112">
        <f>+'Table 3a'!AC119</f>
        <v>40144774.89</v>
      </c>
      <c r="M32" s="113"/>
      <c r="O32" s="90">
        <v>2673</v>
      </c>
      <c r="P32" s="106" t="s">
        <v>104</v>
      </c>
      <c r="Q32" s="92">
        <v>3.6</v>
      </c>
      <c r="R32" s="92">
        <v>3.6</v>
      </c>
      <c r="S32" s="92">
        <v>3.6</v>
      </c>
      <c r="T32" s="92">
        <v>3.6</v>
      </c>
      <c r="U32" s="92">
        <v>3.6</v>
      </c>
      <c r="V32" s="92">
        <v>3.6</v>
      </c>
      <c r="W32" s="92">
        <v>3.6</v>
      </c>
      <c r="X32" s="92">
        <v>3.6</v>
      </c>
      <c r="Y32" s="92">
        <v>7.31</v>
      </c>
      <c r="Z32" s="92">
        <v>7.31</v>
      </c>
      <c r="AA32" s="92">
        <v>7.31</v>
      </c>
      <c r="AB32" s="92">
        <v>7.31</v>
      </c>
      <c r="AC32" s="92">
        <v>7.31</v>
      </c>
    </row>
    <row r="33" spans="3:29" ht="12.75" customHeight="1">
      <c r="C33" s="51"/>
      <c r="D33" s="84"/>
      <c r="E33" s="84"/>
      <c r="F33" s="84"/>
      <c r="G33" s="114"/>
      <c r="H33" s="115"/>
      <c r="I33" s="116"/>
      <c r="J33" s="88"/>
      <c r="K33" s="117"/>
      <c r="M33" s="118"/>
      <c r="O33" s="88"/>
      <c r="P33" s="119" t="s">
        <v>105</v>
      </c>
      <c r="Q33" s="92">
        <v>37.4</v>
      </c>
      <c r="R33" s="92">
        <v>37.4</v>
      </c>
      <c r="S33" s="92">
        <v>37.4</v>
      </c>
      <c r="T33" s="92">
        <v>37.4</v>
      </c>
      <c r="U33" s="92">
        <v>37.4</v>
      </c>
      <c r="V33" s="92">
        <v>37.4</v>
      </c>
      <c r="W33" s="92">
        <v>37.4</v>
      </c>
      <c r="X33" s="92">
        <v>37.4</v>
      </c>
      <c r="Y33" s="92">
        <v>78.44</v>
      </c>
      <c r="Z33" s="92">
        <v>78.44</v>
      </c>
      <c r="AA33" s="92">
        <v>78.44</v>
      </c>
      <c r="AB33" s="92">
        <v>102.14</v>
      </c>
      <c r="AC33" s="92">
        <v>102.14</v>
      </c>
    </row>
    <row r="34" spans="2:29" ht="12.75" customHeight="1">
      <c r="B34" s="1360" t="s">
        <v>106</v>
      </c>
      <c r="C34" s="1360"/>
      <c r="D34" s="1360"/>
      <c r="E34" s="1360"/>
      <c r="F34" s="1360"/>
      <c r="G34" s="1360"/>
      <c r="H34" s="115"/>
      <c r="I34" s="120">
        <f>+I32</f>
        <v>3477.890000000001</v>
      </c>
      <c r="J34" s="88"/>
      <c r="K34" s="112">
        <v>0</v>
      </c>
      <c r="M34" s="121"/>
      <c r="O34" s="122"/>
      <c r="P34" s="119" t="s">
        <v>107</v>
      </c>
      <c r="Q34" s="92">
        <v>0</v>
      </c>
      <c r="R34" s="92">
        <v>0</v>
      </c>
      <c r="S34" s="92">
        <v>0</v>
      </c>
      <c r="T34" s="92">
        <v>0</v>
      </c>
      <c r="U34" s="92">
        <v>0</v>
      </c>
      <c r="V34" s="92">
        <v>0</v>
      </c>
      <c r="W34" s="92">
        <v>0</v>
      </c>
      <c r="X34" s="92">
        <v>0</v>
      </c>
      <c r="Y34" s="92">
        <v>0</v>
      </c>
      <c r="Z34" s="92">
        <v>0</v>
      </c>
      <c r="AA34" s="92">
        <v>0</v>
      </c>
      <c r="AB34" s="92">
        <v>0</v>
      </c>
      <c r="AC34" s="92">
        <v>227.68</v>
      </c>
    </row>
    <row r="35" spans="2:29" ht="12.75" customHeight="1">
      <c r="B35" s="123"/>
      <c r="C35" s="123"/>
      <c r="D35" s="123"/>
      <c r="E35" s="123"/>
      <c r="F35" s="123"/>
      <c r="G35" s="123"/>
      <c r="H35" s="115"/>
      <c r="I35" s="124"/>
      <c r="J35" s="125"/>
      <c r="K35" s="126"/>
      <c r="M35" s="127"/>
      <c r="O35" s="122"/>
      <c r="P35" s="119" t="s">
        <v>108</v>
      </c>
      <c r="Q35" s="92">
        <v>0</v>
      </c>
      <c r="R35" s="92">
        <v>14.99</v>
      </c>
      <c r="S35" s="92">
        <v>14.99</v>
      </c>
      <c r="T35" s="92">
        <v>14.99</v>
      </c>
      <c r="U35" s="92">
        <v>14.99</v>
      </c>
      <c r="V35" s="92">
        <v>14.99</v>
      </c>
      <c r="W35" s="92">
        <v>14.99</v>
      </c>
      <c r="X35" s="92">
        <v>14.99</v>
      </c>
      <c r="Y35" s="92">
        <v>23.98</v>
      </c>
      <c r="Z35" s="92">
        <v>23.98</v>
      </c>
      <c r="AA35" s="92">
        <v>23.98</v>
      </c>
      <c r="AB35" s="92">
        <v>23.98</v>
      </c>
      <c r="AC35" s="92">
        <v>23.98</v>
      </c>
    </row>
    <row r="36" spans="2:29" ht="12.75" customHeight="1" thickBot="1">
      <c r="B36" s="123"/>
      <c r="C36" s="123"/>
      <c r="D36" s="123"/>
      <c r="E36" s="123"/>
      <c r="F36" s="123"/>
      <c r="G36" s="123"/>
      <c r="H36" s="115"/>
      <c r="I36" s="124"/>
      <c r="J36" s="125"/>
      <c r="K36" s="128" t="s">
        <v>109</v>
      </c>
      <c r="M36" s="127"/>
      <c r="O36" s="122"/>
      <c r="P36" s="119" t="s">
        <v>110</v>
      </c>
      <c r="Q36" s="92">
        <v>0</v>
      </c>
      <c r="R36" s="92">
        <v>2.97</v>
      </c>
      <c r="S36" s="92">
        <v>2.97</v>
      </c>
      <c r="T36" s="92">
        <v>2.97</v>
      </c>
      <c r="U36" s="92">
        <v>2.97</v>
      </c>
      <c r="V36" s="92">
        <v>2.97</v>
      </c>
      <c r="W36" s="92">
        <v>2.97</v>
      </c>
      <c r="X36" s="92">
        <v>2.97</v>
      </c>
      <c r="Y36" s="92">
        <v>4.76</v>
      </c>
      <c r="Z36" s="92">
        <v>4.76</v>
      </c>
      <c r="AA36" s="92">
        <v>4.76</v>
      </c>
      <c r="AB36" s="92">
        <v>4.76</v>
      </c>
      <c r="AC36" s="92">
        <v>4.76</v>
      </c>
    </row>
    <row r="37" spans="3:29" ht="12.75" customHeight="1" thickBot="1">
      <c r="C37" s="51"/>
      <c r="D37" s="84"/>
      <c r="E37" s="84"/>
      <c r="F37" s="84"/>
      <c r="G37" s="114"/>
      <c r="H37" s="115"/>
      <c r="I37" s="116"/>
      <c r="J37" s="129"/>
      <c r="K37" s="109">
        <f>+K32+K34</f>
        <v>40144774.89</v>
      </c>
      <c r="M37" s="118"/>
      <c r="O37" s="3"/>
      <c r="P37" s="119" t="s">
        <v>111</v>
      </c>
      <c r="Q37" s="92">
        <v>4.92</v>
      </c>
      <c r="R37" s="92">
        <v>4.92</v>
      </c>
      <c r="S37" s="92">
        <v>4.92</v>
      </c>
      <c r="T37" s="92">
        <v>4.92</v>
      </c>
      <c r="U37" s="92">
        <v>4.92</v>
      </c>
      <c r="V37" s="92">
        <v>4.92</v>
      </c>
      <c r="W37" s="92">
        <v>4.92</v>
      </c>
      <c r="X37" s="92">
        <v>4.92</v>
      </c>
      <c r="Y37" s="92">
        <v>5.58</v>
      </c>
      <c r="Z37" s="92">
        <v>5.58</v>
      </c>
      <c r="AA37" s="92">
        <v>5.58</v>
      </c>
      <c r="AB37" s="92">
        <v>6.86</v>
      </c>
      <c r="AC37" s="92">
        <v>6.86</v>
      </c>
    </row>
    <row r="38" spans="3:29" ht="12.75" customHeight="1">
      <c r="C38" s="51"/>
      <c r="D38" s="84"/>
      <c r="E38" s="84"/>
      <c r="F38" s="84"/>
      <c r="G38" s="114"/>
      <c r="H38" s="115"/>
      <c r="I38" s="116"/>
      <c r="J38" s="129"/>
      <c r="K38" s="117"/>
      <c r="M38" s="118"/>
      <c r="O38" s="3"/>
      <c r="P38" s="119" t="s">
        <v>112</v>
      </c>
      <c r="Q38" s="92">
        <v>0</v>
      </c>
      <c r="R38" s="92">
        <v>10.02</v>
      </c>
      <c r="S38" s="92">
        <v>10.02</v>
      </c>
      <c r="T38" s="92">
        <v>10.02</v>
      </c>
      <c r="U38" s="92">
        <v>8.75</v>
      </c>
      <c r="V38" s="92">
        <v>8.75</v>
      </c>
      <c r="W38" s="92">
        <v>8.75</v>
      </c>
      <c r="X38" s="92">
        <v>8.75</v>
      </c>
      <c r="Y38" s="92">
        <v>8.75</v>
      </c>
      <c r="Z38" s="92">
        <v>8.75</v>
      </c>
      <c r="AA38" s="92">
        <v>8.75</v>
      </c>
      <c r="AB38" s="92">
        <v>8.75</v>
      </c>
      <c r="AC38" s="92">
        <v>8.75</v>
      </c>
    </row>
    <row r="39" spans="3:29" ht="12.75" customHeight="1">
      <c r="C39" s="51"/>
      <c r="D39" s="84"/>
      <c r="E39" s="84"/>
      <c r="F39" s="84"/>
      <c r="G39" s="114"/>
      <c r="H39" s="115"/>
      <c r="I39" s="116"/>
      <c r="J39" s="129"/>
      <c r="K39" s="117"/>
      <c r="M39" s="118"/>
      <c r="O39" s="3"/>
      <c r="P39" s="119" t="s">
        <v>113</v>
      </c>
      <c r="Q39" s="92">
        <v>0</v>
      </c>
      <c r="R39" s="92">
        <v>13.7</v>
      </c>
      <c r="S39" s="92">
        <v>13.7</v>
      </c>
      <c r="T39" s="92">
        <v>13.7</v>
      </c>
      <c r="U39" s="92">
        <v>11.94</v>
      </c>
      <c r="V39" s="92">
        <v>11.94</v>
      </c>
      <c r="W39" s="92">
        <v>11.94</v>
      </c>
      <c r="X39" s="92">
        <v>11.94</v>
      </c>
      <c r="Y39" s="92">
        <v>10.25</v>
      </c>
      <c r="Z39" s="92">
        <v>10.25</v>
      </c>
      <c r="AA39" s="92">
        <v>10.25</v>
      </c>
      <c r="AB39" s="92">
        <v>10.25</v>
      </c>
      <c r="AC39" s="92">
        <v>10.25</v>
      </c>
    </row>
    <row r="40" spans="2:29" ht="12.75" customHeight="1">
      <c r="B40" s="1264" t="s">
        <v>114</v>
      </c>
      <c r="C40" s="1265"/>
      <c r="D40" s="1265"/>
      <c r="E40" s="1265"/>
      <c r="F40" s="1265"/>
      <c r="G40" s="1265"/>
      <c r="H40" s="1265"/>
      <c r="I40" s="1265"/>
      <c r="J40" s="130"/>
      <c r="K40" s="117"/>
      <c r="M40" s="118"/>
      <c r="O40" s="3"/>
      <c r="P40" s="131" t="s">
        <v>115</v>
      </c>
      <c r="Q40" s="92">
        <v>0</v>
      </c>
      <c r="R40" s="92">
        <v>6.82</v>
      </c>
      <c r="S40" s="92">
        <v>6.82</v>
      </c>
      <c r="T40" s="92">
        <v>6.82</v>
      </c>
      <c r="U40" s="92">
        <v>5.95</v>
      </c>
      <c r="V40" s="92">
        <v>5.95</v>
      </c>
      <c r="W40" s="92">
        <v>5.95</v>
      </c>
      <c r="X40" s="92">
        <v>5.95</v>
      </c>
      <c r="Y40" s="92">
        <v>10.52</v>
      </c>
      <c r="Z40" s="92">
        <v>10.52</v>
      </c>
      <c r="AA40" s="92">
        <v>10.52</v>
      </c>
      <c r="AB40" s="92">
        <v>10.52</v>
      </c>
      <c r="AC40" s="92">
        <v>10.52</v>
      </c>
    </row>
    <row r="41" spans="2:29" ht="26.25" customHeight="1">
      <c r="B41" s="1254" t="s">
        <v>116</v>
      </c>
      <c r="C41" s="1254"/>
      <c r="D41" s="1254"/>
      <c r="E41" s="1254"/>
      <c r="F41" s="1254"/>
      <c r="G41" s="1254"/>
      <c r="H41" s="1254"/>
      <c r="I41" s="1254"/>
      <c r="J41" s="132"/>
      <c r="K41" s="117"/>
      <c r="M41" s="118"/>
      <c r="O41" s="3"/>
      <c r="P41" s="119" t="s">
        <v>117</v>
      </c>
      <c r="Q41" s="92">
        <v>0</v>
      </c>
      <c r="R41" s="92">
        <v>7.51</v>
      </c>
      <c r="S41" s="92">
        <v>7.51</v>
      </c>
      <c r="T41" s="92">
        <v>7.51</v>
      </c>
      <c r="U41" s="92">
        <v>6.55</v>
      </c>
      <c r="V41" s="92">
        <v>6.55</v>
      </c>
      <c r="W41" s="92">
        <v>6.55</v>
      </c>
      <c r="X41" s="92">
        <v>6.55</v>
      </c>
      <c r="Y41" s="92">
        <v>2.8</v>
      </c>
      <c r="Z41" s="92">
        <v>2.8</v>
      </c>
      <c r="AA41" s="92">
        <v>2.8</v>
      </c>
      <c r="AB41" s="92">
        <v>2.8</v>
      </c>
      <c r="AC41" s="92">
        <v>2.8</v>
      </c>
    </row>
    <row r="42" spans="2:29" ht="25.5" customHeight="1">
      <c r="B42" s="1254" t="s">
        <v>118</v>
      </c>
      <c r="C42" s="1254"/>
      <c r="D42" s="1254"/>
      <c r="E42" s="1254"/>
      <c r="F42" s="1254"/>
      <c r="G42" s="1254"/>
      <c r="H42" s="1254"/>
      <c r="I42" s="1254"/>
      <c r="J42" s="132"/>
      <c r="K42" s="117"/>
      <c r="M42" s="118"/>
      <c r="O42" s="3"/>
      <c r="P42" s="119" t="s">
        <v>119</v>
      </c>
      <c r="Q42" s="92">
        <v>0</v>
      </c>
      <c r="R42" s="92">
        <v>1.62</v>
      </c>
      <c r="S42" s="92">
        <v>1.62</v>
      </c>
      <c r="T42" s="92">
        <v>1.62</v>
      </c>
      <c r="U42" s="92">
        <v>31.05</v>
      </c>
      <c r="V42" s="92">
        <v>31.05</v>
      </c>
      <c r="W42" s="92">
        <v>31.05</v>
      </c>
      <c r="X42" s="92">
        <v>31.05</v>
      </c>
      <c r="Y42" s="92">
        <v>3.54</v>
      </c>
      <c r="Z42" s="92">
        <v>3.54</v>
      </c>
      <c r="AA42" s="92">
        <v>3.54</v>
      </c>
      <c r="AB42" s="92">
        <v>19.29</v>
      </c>
      <c r="AC42" s="92">
        <v>19.29</v>
      </c>
    </row>
    <row r="43" spans="2:29" ht="44.25" customHeight="1">
      <c r="B43" s="1254" t="s">
        <v>120</v>
      </c>
      <c r="C43" s="1254"/>
      <c r="D43" s="1254"/>
      <c r="E43" s="1254"/>
      <c r="F43" s="1254"/>
      <c r="G43" s="1254"/>
      <c r="H43" s="1254"/>
      <c r="I43" s="1254"/>
      <c r="J43" s="132"/>
      <c r="K43" s="117"/>
      <c r="M43" s="118"/>
      <c r="O43" s="3"/>
      <c r="P43" s="119" t="s">
        <v>121</v>
      </c>
      <c r="Q43" s="92">
        <v>0</v>
      </c>
      <c r="R43" s="92">
        <v>10.47</v>
      </c>
      <c r="S43" s="92">
        <v>10.47</v>
      </c>
      <c r="T43" s="92">
        <v>10.47</v>
      </c>
      <c r="U43" s="92">
        <v>9.13</v>
      </c>
      <c r="V43" s="92">
        <v>9.13</v>
      </c>
      <c r="W43" s="92">
        <v>9.13</v>
      </c>
      <c r="X43" s="92">
        <v>9.13</v>
      </c>
      <c r="Y43" s="92">
        <v>6.01</v>
      </c>
      <c r="Z43" s="92">
        <v>6.01</v>
      </c>
      <c r="AA43" s="92">
        <v>6.01</v>
      </c>
      <c r="AB43" s="92">
        <v>6.01</v>
      </c>
      <c r="AC43" s="92">
        <v>6.01</v>
      </c>
    </row>
    <row r="44" spans="2:29" ht="30.75" customHeight="1">
      <c r="B44" s="1254" t="s">
        <v>122</v>
      </c>
      <c r="C44" s="1254"/>
      <c r="D44" s="1254"/>
      <c r="E44" s="1254"/>
      <c r="F44" s="1254"/>
      <c r="G44" s="1254"/>
      <c r="H44" s="1254"/>
      <c r="I44" s="1254"/>
      <c r="J44" s="132"/>
      <c r="K44" s="117"/>
      <c r="M44" s="118"/>
      <c r="O44" s="3"/>
      <c r="P44" s="119" t="s">
        <v>123</v>
      </c>
      <c r="Q44" s="92">
        <v>0</v>
      </c>
      <c r="R44" s="92">
        <v>4.1</v>
      </c>
      <c r="S44" s="92">
        <v>4.1</v>
      </c>
      <c r="T44" s="92">
        <v>4.1</v>
      </c>
      <c r="U44" s="92">
        <v>3.58</v>
      </c>
      <c r="V44" s="92">
        <v>3.58</v>
      </c>
      <c r="W44" s="92">
        <v>3.58</v>
      </c>
      <c r="X44" s="92">
        <v>3.58</v>
      </c>
      <c r="Y44" s="92">
        <v>4.03</v>
      </c>
      <c r="Z44" s="92">
        <v>4.03</v>
      </c>
      <c r="AA44" s="92">
        <v>4.03</v>
      </c>
      <c r="AB44" s="92">
        <v>4.03</v>
      </c>
      <c r="AC44" s="92">
        <v>4.03</v>
      </c>
    </row>
    <row r="45" spans="2:29" ht="35.25" customHeight="1">
      <c r="B45" s="1296" t="s">
        <v>124</v>
      </c>
      <c r="C45" s="1297"/>
      <c r="D45" s="1297"/>
      <c r="E45" s="1297"/>
      <c r="F45" s="1297"/>
      <c r="G45" s="1297"/>
      <c r="H45" s="1297"/>
      <c r="I45" s="1298"/>
      <c r="J45" s="132"/>
      <c r="K45" s="117"/>
      <c r="M45" s="118"/>
      <c r="O45" s="3"/>
      <c r="P45" s="119" t="s">
        <v>125</v>
      </c>
      <c r="Q45" s="92">
        <v>0</v>
      </c>
      <c r="R45" s="92">
        <v>26.49</v>
      </c>
      <c r="S45" s="92">
        <v>26.49</v>
      </c>
      <c r="T45" s="92">
        <v>26.49</v>
      </c>
      <c r="U45" s="92">
        <v>23.13</v>
      </c>
      <c r="V45" s="92">
        <v>23.13</v>
      </c>
      <c r="W45" s="92">
        <v>23.13</v>
      </c>
      <c r="X45" s="92">
        <v>23.13</v>
      </c>
      <c r="Y45" s="92">
        <v>11.36</v>
      </c>
      <c r="Z45" s="92">
        <v>11.36</v>
      </c>
      <c r="AA45" s="92">
        <v>11.36</v>
      </c>
      <c r="AB45" s="92">
        <v>11.36</v>
      </c>
      <c r="AC45" s="92">
        <v>11.36</v>
      </c>
    </row>
    <row r="46" spans="3:29" ht="12.75" customHeight="1">
      <c r="C46" s="44"/>
      <c r="D46" s="44"/>
      <c r="E46" s="44"/>
      <c r="O46" s="3"/>
      <c r="P46" s="119" t="s">
        <v>126</v>
      </c>
      <c r="Q46" s="92">
        <v>0</v>
      </c>
      <c r="R46" s="92">
        <v>39.77</v>
      </c>
      <c r="S46" s="92">
        <v>39.77</v>
      </c>
      <c r="T46" s="92">
        <v>39.77</v>
      </c>
      <c r="U46" s="92">
        <v>34.7</v>
      </c>
      <c r="V46" s="92">
        <v>34.7</v>
      </c>
      <c r="W46" s="92">
        <v>34.7</v>
      </c>
      <c r="X46" s="92">
        <v>34.7</v>
      </c>
      <c r="Y46" s="92">
        <v>31.11</v>
      </c>
      <c r="Z46" s="92">
        <v>31.11</v>
      </c>
      <c r="AA46" s="92">
        <v>31.11</v>
      </c>
      <c r="AB46" s="92">
        <v>31.11</v>
      </c>
      <c r="AC46" s="92">
        <v>31.11</v>
      </c>
    </row>
    <row r="47" spans="3:29" ht="12.75" customHeight="1" thickBot="1">
      <c r="C47" s="44"/>
      <c r="D47" s="44"/>
      <c r="E47" s="44"/>
      <c r="O47" s="3"/>
      <c r="P47" s="119" t="s">
        <v>127</v>
      </c>
      <c r="Q47" s="92">
        <v>0</v>
      </c>
      <c r="R47" s="92">
        <v>0</v>
      </c>
      <c r="S47" s="92">
        <v>0</v>
      </c>
      <c r="T47" s="92">
        <v>0</v>
      </c>
      <c r="U47" s="92">
        <v>78.76</v>
      </c>
      <c r="V47" s="92">
        <v>0</v>
      </c>
      <c r="W47" s="92">
        <v>0</v>
      </c>
      <c r="X47" s="92">
        <v>0</v>
      </c>
      <c r="Y47" s="92">
        <v>0</v>
      </c>
      <c r="Z47" s="92">
        <v>0</v>
      </c>
      <c r="AA47" s="92">
        <v>0</v>
      </c>
      <c r="AB47" s="92">
        <v>0</v>
      </c>
      <c r="AC47" s="92">
        <v>0</v>
      </c>
    </row>
    <row r="48" spans="3:29" ht="12.75" customHeight="1">
      <c r="C48" s="44"/>
      <c r="D48" s="44"/>
      <c r="E48" s="44"/>
      <c r="O48" s="3"/>
      <c r="P48" s="133" t="s">
        <v>128</v>
      </c>
      <c r="Q48" s="134">
        <v>173.22</v>
      </c>
      <c r="R48" s="134">
        <v>2696.74</v>
      </c>
      <c r="S48" s="134">
        <v>2110.77</v>
      </c>
      <c r="T48" s="134">
        <v>2110.77</v>
      </c>
      <c r="U48" s="134">
        <v>2038.43</v>
      </c>
      <c r="V48" s="134">
        <v>2038.43</v>
      </c>
      <c r="W48" s="134">
        <v>2038.43</v>
      </c>
      <c r="X48" s="134">
        <v>2038.43</v>
      </c>
      <c r="Y48" s="134">
        <v>2750.06</v>
      </c>
      <c r="Z48" s="134">
        <v>2750.06</v>
      </c>
      <c r="AA48" s="134">
        <v>2750.06</v>
      </c>
      <c r="AB48" s="134">
        <v>3158.73</v>
      </c>
      <c r="AC48" s="134">
        <v>3403.29</v>
      </c>
    </row>
    <row r="49" spans="3:29" ht="12.75" customHeight="1" thickBot="1">
      <c r="C49" s="5"/>
      <c r="D49" s="5"/>
      <c r="E49" s="5"/>
      <c r="O49" s="3"/>
      <c r="P49" s="135" t="s">
        <v>129</v>
      </c>
      <c r="Q49" s="136">
        <v>0</v>
      </c>
      <c r="R49" s="136">
        <v>89.96</v>
      </c>
      <c r="S49" s="136">
        <v>89.96</v>
      </c>
      <c r="T49" s="136">
        <v>89.96</v>
      </c>
      <c r="U49" s="136">
        <v>186.9</v>
      </c>
      <c r="V49" s="136">
        <v>108.14</v>
      </c>
      <c r="W49" s="136">
        <v>108.14</v>
      </c>
      <c r="X49" s="136">
        <v>108.14</v>
      </c>
      <c r="Y49" s="136">
        <v>58.85</v>
      </c>
      <c r="Z49" s="136">
        <v>58.85</v>
      </c>
      <c r="AA49" s="136">
        <v>58.85</v>
      </c>
      <c r="AB49" s="136">
        <v>74.6</v>
      </c>
      <c r="AC49" s="136">
        <v>74.6</v>
      </c>
    </row>
    <row r="50" spans="2:29" ht="24.75" customHeight="1" thickTop="1">
      <c r="B50" s="1329" t="s">
        <v>130</v>
      </c>
      <c r="C50" s="1330"/>
      <c r="D50" s="1330"/>
      <c r="E50" s="1330"/>
      <c r="F50" s="1330"/>
      <c r="G50" s="1330"/>
      <c r="H50" s="1330"/>
      <c r="I50" s="1331"/>
      <c r="K50" s="63"/>
      <c r="O50" s="3"/>
      <c r="P50" s="137" t="s">
        <v>131</v>
      </c>
      <c r="Q50" s="138">
        <v>173.22</v>
      </c>
      <c r="R50" s="138">
        <v>2786.7</v>
      </c>
      <c r="S50" s="138">
        <v>2200.73</v>
      </c>
      <c r="T50" s="138">
        <v>2200.73</v>
      </c>
      <c r="U50" s="138">
        <v>2225.33</v>
      </c>
      <c r="V50" s="138">
        <v>2146.57</v>
      </c>
      <c r="W50" s="138">
        <v>2146.57</v>
      </c>
      <c r="X50" s="138">
        <v>2146.57</v>
      </c>
      <c r="Y50" s="138">
        <v>2808.91</v>
      </c>
      <c r="Z50" s="138">
        <v>2808.91</v>
      </c>
      <c r="AA50" s="138">
        <v>2808.91</v>
      </c>
      <c r="AB50" s="138">
        <v>3233.33</v>
      </c>
      <c r="AC50" s="138">
        <v>3477.89</v>
      </c>
    </row>
    <row r="51" spans="2:29" ht="12.75" customHeight="1">
      <c r="B51" s="52"/>
      <c r="C51" s="139"/>
      <c r="D51" s="139"/>
      <c r="E51" s="139"/>
      <c r="F51" s="60"/>
      <c r="G51" s="140"/>
      <c r="I51" s="141"/>
      <c r="K51" s="63"/>
      <c r="O51" s="3"/>
      <c r="P51" s="142"/>
      <c r="Q51" s="143"/>
      <c r="R51" s="143"/>
      <c r="S51" s="143"/>
      <c r="T51" s="143"/>
      <c r="U51" s="143"/>
      <c r="V51" s="143"/>
      <c r="W51" s="143"/>
      <c r="X51" s="143"/>
      <c r="Y51" s="143"/>
      <c r="Z51" s="143"/>
      <c r="AA51" s="143"/>
      <c r="AB51" s="143"/>
      <c r="AC51" s="143"/>
    </row>
    <row r="52" spans="6:29" ht="12.75" customHeight="1" thickBot="1">
      <c r="F52" s="52"/>
      <c r="G52" s="144"/>
      <c r="H52" s="1332"/>
      <c r="O52" s="3"/>
      <c r="P52" s="142"/>
      <c r="Q52" s="143"/>
      <c r="R52" s="143"/>
      <c r="S52" s="143"/>
      <c r="T52" s="143"/>
      <c r="U52" s="143"/>
      <c r="V52" s="143"/>
      <c r="W52" s="143"/>
      <c r="X52" s="143"/>
      <c r="Y52" s="143"/>
      <c r="Z52" s="143"/>
      <c r="AA52" s="143"/>
      <c r="AB52" s="143"/>
      <c r="AC52" s="143"/>
    </row>
    <row r="53" spans="1:29" ht="12.75" customHeight="1">
      <c r="A53" s="146" t="s">
        <v>132</v>
      </c>
      <c r="B53" s="147" t="s">
        <v>133</v>
      </c>
      <c r="C53" s="148" t="s">
        <v>134</v>
      </c>
      <c r="D53" s="149" t="s">
        <v>135</v>
      </c>
      <c r="E53" s="150"/>
      <c r="F53" s="114"/>
      <c r="G53" s="151"/>
      <c r="H53" s="1333"/>
      <c r="I53" s="153"/>
      <c r="J53" s="154"/>
      <c r="K53" s="155"/>
      <c r="L53" s="52"/>
      <c r="M53" s="156"/>
      <c r="O53" s="3"/>
      <c r="P53" s="142"/>
      <c r="Q53" s="157"/>
      <c r="R53" s="157"/>
      <c r="S53" s="157"/>
      <c r="T53" s="158"/>
      <c r="U53" s="157"/>
      <c r="V53" s="157"/>
      <c r="W53" s="142"/>
      <c r="X53" s="142"/>
      <c r="Y53" s="142"/>
      <c r="Z53" s="142"/>
      <c r="AA53" s="142"/>
      <c r="AB53" s="142"/>
      <c r="AC53" s="142"/>
    </row>
    <row r="54" spans="1:29" ht="12.75" customHeight="1">
      <c r="A54" s="159">
        <v>0</v>
      </c>
      <c r="B54" s="160">
        <v>0</v>
      </c>
      <c r="C54" s="161">
        <v>0</v>
      </c>
      <c r="D54" s="162">
        <v>0</v>
      </c>
      <c r="E54" s="150"/>
      <c r="F54" s="114"/>
      <c r="G54" s="151">
        <v>0</v>
      </c>
      <c r="H54" s="1333"/>
      <c r="I54" s="153"/>
      <c r="J54" s="154"/>
      <c r="K54" s="155"/>
      <c r="L54" s="52"/>
      <c r="M54" s="156"/>
      <c r="O54" s="3"/>
      <c r="P54" s="142"/>
      <c r="Q54" s="157"/>
      <c r="R54" s="157"/>
      <c r="S54" s="157"/>
      <c r="T54" s="158"/>
      <c r="U54" s="157"/>
      <c r="V54" s="157"/>
      <c r="W54" s="142"/>
      <c r="X54" s="142"/>
      <c r="Y54" s="142"/>
      <c r="Z54" s="142"/>
      <c r="AA54" s="142"/>
      <c r="AB54" s="142"/>
      <c r="AC54" s="142"/>
    </row>
    <row r="55" spans="1:29" ht="12.75" customHeight="1">
      <c r="A55" s="159">
        <v>10</v>
      </c>
      <c r="B55" s="160">
        <v>0.5</v>
      </c>
      <c r="C55" s="161">
        <v>0.5</v>
      </c>
      <c r="D55" s="162">
        <f aca="true" t="shared" si="0" ref="D55:D63">A55/(B55+C55)</f>
        <v>10</v>
      </c>
      <c r="E55" s="1288" t="s">
        <v>136</v>
      </c>
      <c r="F55" s="1289"/>
      <c r="G55" s="151">
        <f aca="true" t="shared" si="1" ref="G55:G63">+A55</f>
        <v>10</v>
      </c>
      <c r="H55" s="1333"/>
      <c r="I55" s="153">
        <v>27416</v>
      </c>
      <c r="J55" s="154"/>
      <c r="K55" s="155"/>
      <c r="L55" s="52"/>
      <c r="M55" s="156"/>
      <c r="O55" s="3"/>
      <c r="P55" s="142"/>
      <c r="Q55" s="157"/>
      <c r="R55" s="157"/>
      <c r="S55" s="157"/>
      <c r="T55" s="158"/>
      <c r="U55" s="157"/>
      <c r="V55" s="157"/>
      <c r="W55" s="142"/>
      <c r="X55" s="142"/>
      <c r="Y55" s="142"/>
      <c r="Z55" s="142"/>
      <c r="AA55" s="142"/>
      <c r="AB55" s="142"/>
      <c r="AC55" s="142"/>
    </row>
    <row r="56" spans="1:29" ht="12.75" customHeight="1">
      <c r="A56" s="159">
        <v>15</v>
      </c>
      <c r="B56" s="160">
        <v>0.5</v>
      </c>
      <c r="C56" s="161">
        <v>1</v>
      </c>
      <c r="D56" s="162">
        <f t="shared" si="0"/>
        <v>10</v>
      </c>
      <c r="E56" s="1288" t="s">
        <v>136</v>
      </c>
      <c r="F56" s="1289"/>
      <c r="G56" s="151">
        <f t="shared" si="1"/>
        <v>15</v>
      </c>
      <c r="H56" s="1333"/>
      <c r="I56" s="153">
        <v>37134</v>
      </c>
      <c r="J56" s="154"/>
      <c r="K56" s="155"/>
      <c r="L56" s="52"/>
      <c r="M56" s="156"/>
      <c r="O56" s="3"/>
      <c r="P56" s="142"/>
      <c r="Q56" s="157"/>
      <c r="R56" s="157"/>
      <c r="S56" s="157"/>
      <c r="T56" s="158"/>
      <c r="U56" s="157"/>
      <c r="V56" s="157"/>
      <c r="W56" s="142"/>
      <c r="X56" s="142"/>
      <c r="Y56" s="142"/>
      <c r="Z56" s="142"/>
      <c r="AA56" s="142"/>
      <c r="AB56" s="142"/>
      <c r="AC56" s="142"/>
    </row>
    <row r="57" spans="1:29" ht="12.75" customHeight="1">
      <c r="A57" s="159">
        <v>20</v>
      </c>
      <c r="B57" s="160">
        <v>1</v>
      </c>
      <c r="C57" s="161">
        <v>1</v>
      </c>
      <c r="D57" s="162">
        <f t="shared" si="0"/>
        <v>10</v>
      </c>
      <c r="E57" s="1288" t="s">
        <v>136</v>
      </c>
      <c r="F57" s="1289"/>
      <c r="G57" s="151">
        <f t="shared" si="1"/>
        <v>20</v>
      </c>
      <c r="H57" s="1333"/>
      <c r="I57" s="153">
        <v>54834</v>
      </c>
      <c r="J57" s="154"/>
      <c r="K57" s="155"/>
      <c r="L57" s="52"/>
      <c r="M57" s="156"/>
      <c r="O57" s="3"/>
      <c r="P57" s="142"/>
      <c r="Q57" s="157"/>
      <c r="R57" s="157"/>
      <c r="S57" s="157"/>
      <c r="T57" s="158"/>
      <c r="U57" s="157"/>
      <c r="V57" s="157"/>
      <c r="W57" s="142"/>
      <c r="X57" s="142"/>
      <c r="Y57" s="142"/>
      <c r="Z57" s="142"/>
      <c r="AA57" s="142"/>
      <c r="AB57" s="142"/>
      <c r="AC57" s="142"/>
    </row>
    <row r="58" spans="1:29" ht="12.75" customHeight="1">
      <c r="A58" s="159">
        <v>25</v>
      </c>
      <c r="B58" s="160">
        <v>1</v>
      </c>
      <c r="C58" s="161">
        <v>1.5</v>
      </c>
      <c r="D58" s="162">
        <f t="shared" si="0"/>
        <v>10</v>
      </c>
      <c r="E58" s="1288" t="s">
        <v>136</v>
      </c>
      <c r="F58" s="1289"/>
      <c r="G58" s="151">
        <f t="shared" si="1"/>
        <v>25</v>
      </c>
      <c r="H58" s="1333"/>
      <c r="I58" s="153">
        <v>64551</v>
      </c>
      <c r="J58" s="154"/>
      <c r="K58" s="155"/>
      <c r="L58" s="52"/>
      <c r="M58" s="156"/>
      <c r="O58" s="3"/>
      <c r="P58" s="142"/>
      <c r="Q58" s="157"/>
      <c r="R58" s="157"/>
      <c r="S58" s="157"/>
      <c r="T58" s="158"/>
      <c r="U58" s="157"/>
      <c r="V58" s="157"/>
      <c r="W58" s="142"/>
      <c r="X58" s="142"/>
      <c r="Y58" s="142"/>
      <c r="Z58" s="142"/>
      <c r="AA58" s="142"/>
      <c r="AB58" s="142"/>
      <c r="AC58" s="142"/>
    </row>
    <row r="59" spans="1:29" ht="12.75" customHeight="1">
      <c r="A59" s="159">
        <v>30</v>
      </c>
      <c r="B59" s="160">
        <v>1</v>
      </c>
      <c r="C59" s="161">
        <v>2</v>
      </c>
      <c r="D59" s="162">
        <f t="shared" si="0"/>
        <v>10</v>
      </c>
      <c r="E59" s="1288" t="s">
        <v>136</v>
      </c>
      <c r="F59" s="1289"/>
      <c r="G59" s="151">
        <f t="shared" si="1"/>
        <v>30</v>
      </c>
      <c r="H59" s="1333"/>
      <c r="I59" s="153">
        <v>74268</v>
      </c>
      <c r="J59" s="154"/>
      <c r="K59" s="155"/>
      <c r="L59" s="52"/>
      <c r="M59" s="156"/>
      <c r="O59" s="3"/>
      <c r="P59" s="142"/>
      <c r="Q59" s="157"/>
      <c r="R59" s="157"/>
      <c r="S59" s="157"/>
      <c r="T59" s="158"/>
      <c r="U59" s="157"/>
      <c r="V59" s="157"/>
      <c r="W59" s="142"/>
      <c r="X59" s="142"/>
      <c r="Y59" s="142"/>
      <c r="Z59" s="142"/>
      <c r="AA59" s="142"/>
      <c r="AB59" s="142"/>
      <c r="AC59" s="142"/>
    </row>
    <row r="60" spans="1:29" ht="12.75" customHeight="1">
      <c r="A60" s="159">
        <v>35</v>
      </c>
      <c r="B60" s="160">
        <v>1</v>
      </c>
      <c r="C60" s="161">
        <v>2.5</v>
      </c>
      <c r="D60" s="162">
        <f t="shared" si="0"/>
        <v>10</v>
      </c>
      <c r="E60" s="1288" t="s">
        <v>136</v>
      </c>
      <c r="F60" s="1289"/>
      <c r="G60" s="151">
        <f t="shared" si="1"/>
        <v>35</v>
      </c>
      <c r="H60" s="1333"/>
      <c r="I60" s="153">
        <v>83986</v>
      </c>
      <c r="J60" s="154"/>
      <c r="K60" s="155"/>
      <c r="L60" s="52"/>
      <c r="M60" s="156"/>
      <c r="O60" s="3"/>
      <c r="P60" s="142"/>
      <c r="Q60" s="157"/>
      <c r="R60" s="157"/>
      <c r="S60" s="157"/>
      <c r="T60" s="158"/>
      <c r="U60" s="157"/>
      <c r="V60" s="157"/>
      <c r="W60" s="142"/>
      <c r="X60" s="142"/>
      <c r="Y60" s="142"/>
      <c r="Z60" s="142"/>
      <c r="AA60" s="142"/>
      <c r="AB60" s="142"/>
      <c r="AC60" s="142"/>
    </row>
    <row r="61" spans="1:29" ht="12.75" customHeight="1">
      <c r="A61" s="159">
        <v>40</v>
      </c>
      <c r="B61" s="160">
        <v>2</v>
      </c>
      <c r="C61" s="161">
        <v>2</v>
      </c>
      <c r="D61" s="162">
        <f t="shared" si="0"/>
        <v>10</v>
      </c>
      <c r="E61" s="1288" t="s">
        <v>136</v>
      </c>
      <c r="F61" s="1289"/>
      <c r="G61" s="151">
        <f t="shared" si="1"/>
        <v>40</v>
      </c>
      <c r="H61" s="1333"/>
      <c r="I61" s="153">
        <v>109666</v>
      </c>
      <c r="J61" s="154"/>
      <c r="K61" s="155"/>
      <c r="L61" s="52"/>
      <c r="M61" s="156"/>
      <c r="O61" s="3"/>
      <c r="P61" s="142"/>
      <c r="Q61" s="157"/>
      <c r="R61" s="157"/>
      <c r="S61" s="157"/>
      <c r="T61" s="158"/>
      <c r="U61" s="157"/>
      <c r="V61" s="157"/>
      <c r="W61" s="142"/>
      <c r="X61" s="142"/>
      <c r="Y61" s="142"/>
      <c r="Z61" s="142"/>
      <c r="AA61" s="142"/>
      <c r="AB61" s="142"/>
      <c r="AC61" s="142"/>
    </row>
    <row r="62" spans="1:29" ht="12.75" customHeight="1">
      <c r="A62" s="159">
        <v>45</v>
      </c>
      <c r="B62" s="160">
        <v>2</v>
      </c>
      <c r="C62" s="161">
        <v>2.5</v>
      </c>
      <c r="D62" s="162">
        <f t="shared" si="0"/>
        <v>10</v>
      </c>
      <c r="E62" s="1288" t="s">
        <v>136</v>
      </c>
      <c r="F62" s="1289"/>
      <c r="G62" s="151">
        <f t="shared" si="1"/>
        <v>45</v>
      </c>
      <c r="H62" s="1333"/>
      <c r="I62" s="153">
        <v>119384</v>
      </c>
      <c r="J62" s="154"/>
      <c r="K62" s="155"/>
      <c r="L62" s="52"/>
      <c r="M62" s="156"/>
      <c r="O62" s="3"/>
      <c r="P62" s="142"/>
      <c r="Q62" s="157"/>
      <c r="R62" s="157"/>
      <c r="S62" s="157"/>
      <c r="T62" s="158"/>
      <c r="U62" s="157"/>
      <c r="V62" s="157"/>
      <c r="W62" s="142"/>
      <c r="X62" s="142"/>
      <c r="Y62" s="142"/>
      <c r="Z62" s="142"/>
      <c r="AA62" s="142"/>
      <c r="AB62" s="142"/>
      <c r="AC62" s="142"/>
    </row>
    <row r="63" spans="1:29" ht="12.75" customHeight="1" thickBot="1">
      <c r="A63" s="163">
        <v>50</v>
      </c>
      <c r="B63" s="164">
        <v>2</v>
      </c>
      <c r="C63" s="165">
        <v>3</v>
      </c>
      <c r="D63" s="166">
        <f t="shared" si="0"/>
        <v>10</v>
      </c>
      <c r="E63" s="1288" t="s">
        <v>136</v>
      </c>
      <c r="F63" s="1289"/>
      <c r="G63" s="151">
        <f t="shared" si="1"/>
        <v>50</v>
      </c>
      <c r="H63" s="1333"/>
      <c r="I63" s="153">
        <v>129101</v>
      </c>
      <c r="J63" s="154"/>
      <c r="K63" s="107" t="s">
        <v>137</v>
      </c>
      <c r="O63" s="3"/>
      <c r="P63" s="142"/>
      <c r="Q63" s="157"/>
      <c r="R63" s="157"/>
      <c r="S63" s="157"/>
      <c r="T63" s="158"/>
      <c r="U63" s="167"/>
      <c r="V63" s="143"/>
      <c r="W63" s="157"/>
      <c r="X63" s="157"/>
      <c r="Y63" s="157"/>
      <c r="Z63" s="157"/>
      <c r="AA63" s="157"/>
      <c r="AB63" s="157"/>
      <c r="AC63" s="157"/>
    </row>
    <row r="64" spans="2:15" ht="12.75" customHeight="1" thickBot="1">
      <c r="B64" s="52"/>
      <c r="C64" s="139"/>
      <c r="D64" s="168"/>
      <c r="E64" s="169"/>
      <c r="F64" s="169"/>
      <c r="G64" s="170"/>
      <c r="H64" s="1333"/>
      <c r="I64" s="171"/>
      <c r="J64" s="52"/>
      <c r="K64" s="172"/>
      <c r="M64" s="173" t="s">
        <v>138</v>
      </c>
      <c r="O64" s="3"/>
    </row>
    <row r="65" spans="2:15" ht="12.75" customHeight="1" thickBot="1">
      <c r="B65" s="52"/>
      <c r="C65" s="174"/>
      <c r="D65" s="174"/>
      <c r="E65" s="174"/>
      <c r="F65" s="174"/>
      <c r="G65" s="174"/>
      <c r="H65" s="1333"/>
      <c r="I65" s="174"/>
      <c r="J65" s="52"/>
      <c r="K65" s="107" t="s">
        <v>99</v>
      </c>
      <c r="O65" s="3"/>
    </row>
    <row r="66" spans="2:15" ht="12.75" customHeight="1" thickBot="1">
      <c r="B66" s="52"/>
      <c r="C66" s="174"/>
      <c r="D66" s="174"/>
      <c r="E66" s="174"/>
      <c r="F66" s="174"/>
      <c r="G66" s="174"/>
      <c r="H66" s="1334"/>
      <c r="I66" s="174"/>
      <c r="J66" s="52"/>
      <c r="K66" s="172">
        <f>+'Table 3a'!AD94</f>
        <v>2817553.9000000004</v>
      </c>
      <c r="M66" s="95" t="s">
        <v>138</v>
      </c>
      <c r="O66" s="3"/>
    </row>
    <row r="67" spans="2:15" ht="12.75" customHeight="1">
      <c r="B67" s="1264" t="s">
        <v>114</v>
      </c>
      <c r="C67" s="1265"/>
      <c r="D67" s="1265"/>
      <c r="E67" s="1265"/>
      <c r="F67" s="1265"/>
      <c r="G67" s="1265"/>
      <c r="H67" s="1265"/>
      <c r="I67" s="1283"/>
      <c r="J67" s="130"/>
      <c r="O67" s="3"/>
    </row>
    <row r="68" spans="2:15" ht="29.25" customHeight="1">
      <c r="B68" s="1250" t="s">
        <v>139</v>
      </c>
      <c r="C68" s="1251"/>
      <c r="D68" s="1251"/>
      <c r="E68" s="1251"/>
      <c r="F68" s="1251"/>
      <c r="G68" s="1251"/>
      <c r="H68" s="1251"/>
      <c r="I68" s="1252"/>
      <c r="J68" s="132"/>
      <c r="O68" s="3"/>
    </row>
    <row r="69" spans="2:15" ht="30.75" customHeight="1">
      <c r="B69" s="1250" t="s">
        <v>140</v>
      </c>
      <c r="C69" s="1251"/>
      <c r="D69" s="1251"/>
      <c r="E69" s="1251"/>
      <c r="F69" s="1251"/>
      <c r="G69" s="1251"/>
      <c r="H69" s="1251"/>
      <c r="I69" s="1252"/>
      <c r="J69" s="132"/>
      <c r="K69" s="117"/>
      <c r="M69" s="118"/>
      <c r="O69" s="3"/>
    </row>
    <row r="70" spans="2:15" ht="44.25" customHeight="1">
      <c r="B70" s="1250" t="s">
        <v>141</v>
      </c>
      <c r="C70" s="1251"/>
      <c r="D70" s="1251"/>
      <c r="E70" s="1251"/>
      <c r="F70" s="1251"/>
      <c r="G70" s="1251"/>
      <c r="H70" s="1251"/>
      <c r="I70" s="1252"/>
      <c r="J70" s="132"/>
      <c r="K70" s="117"/>
      <c r="M70" s="118"/>
      <c r="O70" s="3"/>
    </row>
    <row r="71" spans="2:15" ht="12.75" customHeight="1">
      <c r="B71" s="1250" t="s">
        <v>142</v>
      </c>
      <c r="C71" s="1251"/>
      <c r="D71" s="1251"/>
      <c r="E71" s="1251"/>
      <c r="F71" s="1251"/>
      <c r="G71" s="1251"/>
      <c r="H71" s="1251"/>
      <c r="I71" s="1252"/>
      <c r="J71" s="132"/>
      <c r="K71" s="117"/>
      <c r="M71" s="118"/>
      <c r="O71" s="3"/>
    </row>
    <row r="72" spans="2:15" ht="12.75" customHeight="1">
      <c r="B72" s="60"/>
      <c r="C72" s="60"/>
      <c r="D72" s="60"/>
      <c r="E72" s="60"/>
      <c r="F72" s="60"/>
      <c r="G72" s="61"/>
      <c r="H72" s="60"/>
      <c r="I72" s="62"/>
      <c r="J72" s="60"/>
      <c r="K72" s="117"/>
      <c r="M72" s="118"/>
      <c r="O72" s="3"/>
    </row>
    <row r="73" spans="2:15" ht="24.75" customHeight="1">
      <c r="B73" s="1329" t="s">
        <v>143</v>
      </c>
      <c r="C73" s="1330"/>
      <c r="D73" s="1330"/>
      <c r="E73" s="1330"/>
      <c r="F73" s="1330"/>
      <c r="G73" s="1330"/>
      <c r="H73" s="1330"/>
      <c r="I73" s="1331"/>
      <c r="K73" s="63"/>
      <c r="O73" s="3"/>
    </row>
    <row r="74" spans="2:15" ht="12.75" customHeight="1" thickBot="1">
      <c r="B74" s="52"/>
      <c r="C74" s="139"/>
      <c r="D74" s="139"/>
      <c r="E74" s="139"/>
      <c r="F74" s="60"/>
      <c r="G74" s="140"/>
      <c r="I74" s="141"/>
      <c r="K74" s="107" t="s">
        <v>137</v>
      </c>
      <c r="O74" s="3"/>
    </row>
    <row r="75" spans="6:15" ht="12.75" customHeight="1">
      <c r="F75" s="52" t="s">
        <v>144</v>
      </c>
      <c r="G75" s="176"/>
      <c r="H75" s="1332"/>
      <c r="I75" s="177"/>
      <c r="K75" s="178"/>
      <c r="M75" s="95"/>
      <c r="O75" s="3"/>
    </row>
    <row r="76" spans="2:15" ht="12.75" customHeight="1">
      <c r="B76" s="52"/>
      <c r="C76" s="1326"/>
      <c r="D76" s="1326"/>
      <c r="E76" s="942"/>
      <c r="F76" s="114"/>
      <c r="G76" s="152"/>
      <c r="H76" s="1333"/>
      <c r="I76" s="60"/>
      <c r="J76" s="154"/>
      <c r="K76" s="180" t="s">
        <v>99</v>
      </c>
      <c r="L76" s="52"/>
      <c r="M76" s="156"/>
      <c r="O76" s="3"/>
    </row>
    <row r="77" spans="2:15" ht="12.75" customHeight="1">
      <c r="B77" s="52"/>
      <c r="C77" s="179"/>
      <c r="D77" s="179"/>
      <c r="E77" s="150"/>
      <c r="F77" s="52" t="s">
        <v>144</v>
      </c>
      <c r="G77" s="152"/>
      <c r="H77" s="1333"/>
      <c r="I77" s="181"/>
      <c r="J77" s="154"/>
      <c r="K77" s="182"/>
      <c r="L77" s="52"/>
      <c r="M77" s="183"/>
      <c r="O77" s="3"/>
    </row>
    <row r="78" spans="2:15" ht="12.75" customHeight="1">
      <c r="B78" s="52"/>
      <c r="C78" s="179"/>
      <c r="D78" s="179"/>
      <c r="E78" s="150"/>
      <c r="F78" s="52"/>
      <c r="G78" s="152"/>
      <c r="H78" s="1333"/>
      <c r="I78" s="60"/>
      <c r="J78" s="154"/>
      <c r="K78" s="184"/>
      <c r="L78" s="52"/>
      <c r="M78" s="156"/>
      <c r="O78" s="3"/>
    </row>
    <row r="79" spans="2:15" ht="12.75" customHeight="1" thickBot="1">
      <c r="B79" s="52"/>
      <c r="C79" s="1327"/>
      <c r="D79" s="1327"/>
      <c r="E79" s="1328"/>
      <c r="F79" s="114"/>
      <c r="G79" s="152"/>
      <c r="H79" s="1333"/>
      <c r="I79" s="60"/>
      <c r="J79" s="154"/>
      <c r="K79" s="107" t="s">
        <v>137</v>
      </c>
      <c r="O79" s="3"/>
    </row>
    <row r="80" spans="2:15" ht="12.75" customHeight="1">
      <c r="B80" s="52"/>
      <c r="C80" s="139"/>
      <c r="D80" s="168"/>
      <c r="E80" s="169"/>
      <c r="F80" s="169" t="s">
        <v>145</v>
      </c>
      <c r="G80" s="152"/>
      <c r="H80" s="1333"/>
      <c r="I80" s="181"/>
      <c r="J80" s="52"/>
      <c r="K80" s="178"/>
      <c r="M80" s="173" t="s">
        <v>138</v>
      </c>
      <c r="O80" s="3"/>
    </row>
    <row r="81" spans="2:15" ht="12.75" customHeight="1">
      <c r="B81" s="52"/>
      <c r="C81" s="139"/>
      <c r="D81" s="168"/>
      <c r="E81" s="169"/>
      <c r="F81" s="169"/>
      <c r="G81" s="152"/>
      <c r="H81" s="1333"/>
      <c r="I81" s="60"/>
      <c r="J81" s="52"/>
      <c r="K81" s="180" t="s">
        <v>99</v>
      </c>
      <c r="M81" s="185"/>
      <c r="O81" s="3"/>
    </row>
    <row r="82" spans="2:15" ht="12.75" customHeight="1">
      <c r="B82" s="52"/>
      <c r="C82" s="139"/>
      <c r="D82" s="168"/>
      <c r="E82" s="169"/>
      <c r="F82" s="169" t="s">
        <v>145</v>
      </c>
      <c r="G82" s="152"/>
      <c r="H82" s="1333"/>
      <c r="I82" s="186">
        <f>'Table 3a'!$AF$15</f>
        <v>1179.99</v>
      </c>
      <c r="J82" s="52"/>
      <c r="K82" s="182">
        <f>+'Table 3a'!AF94</f>
        <v>550175</v>
      </c>
      <c r="M82" s="173"/>
      <c r="O82" s="3"/>
    </row>
    <row r="83" spans="2:15" ht="12.75" customHeight="1">
      <c r="B83" s="52"/>
      <c r="C83" s="139"/>
      <c r="D83" s="168"/>
      <c r="E83" s="169"/>
      <c r="F83" s="169"/>
      <c r="G83" s="152"/>
      <c r="H83" s="1333"/>
      <c r="I83" s="60"/>
      <c r="J83" s="52"/>
      <c r="K83" s="117"/>
      <c r="M83" s="185"/>
      <c r="O83" s="3"/>
    </row>
    <row r="84" spans="2:15" ht="12.75" customHeight="1">
      <c r="B84" s="52"/>
      <c r="C84" s="174"/>
      <c r="D84" s="174"/>
      <c r="E84" s="174"/>
      <c r="F84" s="174"/>
      <c r="G84" s="174"/>
      <c r="H84" s="1334"/>
      <c r="I84" s="174"/>
      <c r="J84" s="52"/>
      <c r="K84" s="117"/>
      <c r="M84" s="118"/>
      <c r="O84" s="3"/>
    </row>
    <row r="85" spans="2:15" ht="12.75" customHeight="1">
      <c r="B85" s="1264" t="s">
        <v>114</v>
      </c>
      <c r="C85" s="1265"/>
      <c r="D85" s="1265"/>
      <c r="E85" s="1265"/>
      <c r="F85" s="1265"/>
      <c r="G85" s="1265"/>
      <c r="H85" s="1265"/>
      <c r="I85" s="1283"/>
      <c r="J85" s="130"/>
      <c r="O85" s="3"/>
    </row>
    <row r="86" spans="2:15" ht="50.25" customHeight="1">
      <c r="B86" s="1250" t="s">
        <v>146</v>
      </c>
      <c r="C86" s="1251"/>
      <c r="D86" s="1251"/>
      <c r="E86" s="1251"/>
      <c r="F86" s="1251"/>
      <c r="G86" s="1251"/>
      <c r="H86" s="1251"/>
      <c r="I86" s="1252"/>
      <c r="J86" s="132"/>
      <c r="O86" s="3"/>
    </row>
    <row r="87" spans="2:15" ht="33" customHeight="1">
      <c r="B87" s="1250" t="s">
        <v>147</v>
      </c>
      <c r="C87" s="1251"/>
      <c r="D87" s="1251"/>
      <c r="E87" s="1251"/>
      <c r="F87" s="1251"/>
      <c r="G87" s="1251"/>
      <c r="H87" s="1251"/>
      <c r="I87" s="1252"/>
      <c r="J87" s="132"/>
      <c r="K87" s="117"/>
      <c r="M87" s="118"/>
      <c r="O87" s="3"/>
    </row>
    <row r="88" spans="2:15" ht="28.5" customHeight="1">
      <c r="B88" s="1250" t="s">
        <v>148</v>
      </c>
      <c r="C88" s="1251"/>
      <c r="D88" s="1251"/>
      <c r="E88" s="1251"/>
      <c r="F88" s="1251"/>
      <c r="G88" s="1251"/>
      <c r="H88" s="1251"/>
      <c r="I88" s="1252"/>
      <c r="J88" s="132"/>
      <c r="K88" s="117"/>
      <c r="M88" s="118"/>
      <c r="O88" s="3"/>
    </row>
    <row r="89" spans="2:15" ht="26.25" customHeight="1">
      <c r="B89" s="1254" t="s">
        <v>149</v>
      </c>
      <c r="C89" s="1251"/>
      <c r="D89" s="1251"/>
      <c r="E89" s="1251"/>
      <c r="F89" s="1251"/>
      <c r="G89" s="1251"/>
      <c r="H89" s="1251"/>
      <c r="I89" s="1252"/>
      <c r="J89" s="132"/>
      <c r="K89" s="117"/>
      <c r="M89" s="118"/>
      <c r="O89" s="3"/>
    </row>
    <row r="90" spans="2:15" ht="28.5" customHeight="1">
      <c r="B90" s="1254" t="s">
        <v>150</v>
      </c>
      <c r="C90" s="1251"/>
      <c r="D90" s="1251"/>
      <c r="E90" s="1251"/>
      <c r="F90" s="1251"/>
      <c r="G90" s="1251"/>
      <c r="H90" s="1251"/>
      <c r="I90" s="1252"/>
      <c r="J90" s="132"/>
      <c r="K90" s="117"/>
      <c r="M90" s="118"/>
      <c r="O90" s="3"/>
    </row>
    <row r="91" spans="2:15" ht="31.5" customHeight="1">
      <c r="B91" s="1254" t="s">
        <v>151</v>
      </c>
      <c r="C91" s="1251"/>
      <c r="D91" s="1251"/>
      <c r="E91" s="1251"/>
      <c r="F91" s="1251"/>
      <c r="G91" s="1251"/>
      <c r="H91" s="1251"/>
      <c r="I91" s="1252"/>
      <c r="J91" s="115"/>
      <c r="K91" s="63"/>
      <c r="L91" s="152"/>
      <c r="M91" s="152"/>
      <c r="N91" s="152"/>
      <c r="O91" s="152"/>
    </row>
    <row r="92" spans="2:15" ht="12.75" customHeight="1">
      <c r="B92" s="187"/>
      <c r="C92" s="187"/>
      <c r="D92" s="187"/>
      <c r="E92" s="187"/>
      <c r="F92" s="187"/>
      <c r="G92" s="188"/>
      <c r="H92" s="187"/>
      <c r="I92" s="189"/>
      <c r="J92" s="115"/>
      <c r="K92" s="63"/>
      <c r="L92" s="152"/>
      <c r="M92" s="152"/>
      <c r="N92" s="152"/>
      <c r="O92" s="152"/>
    </row>
    <row r="93" spans="2:15" ht="30" customHeight="1">
      <c r="B93" s="1369" t="s">
        <v>152</v>
      </c>
      <c r="C93" s="1370"/>
      <c r="D93" s="1370"/>
      <c r="E93" s="1370"/>
      <c r="F93" s="1370"/>
      <c r="G93" s="188"/>
      <c r="H93" s="187"/>
      <c r="I93" s="190"/>
      <c r="J93" s="115"/>
      <c r="K93" s="191"/>
      <c r="L93" s="152"/>
      <c r="M93" s="192"/>
      <c r="N93" s="152"/>
      <c r="O93" s="192"/>
    </row>
    <row r="94" spans="2:15" ht="12.75" customHeight="1">
      <c r="B94" s="187"/>
      <c r="C94" s="187"/>
      <c r="D94" s="187"/>
      <c r="E94" s="187"/>
      <c r="F94" s="187"/>
      <c r="G94" s="188"/>
      <c r="H94" s="187"/>
      <c r="I94" s="189"/>
      <c r="J94" s="115"/>
      <c r="K94" s="63"/>
      <c r="L94" s="152"/>
      <c r="M94" s="152"/>
      <c r="N94" s="152"/>
      <c r="O94" s="152"/>
    </row>
    <row r="95" spans="2:15" ht="12.75" customHeight="1">
      <c r="B95" s="187"/>
      <c r="C95" s="187"/>
      <c r="D95" s="187"/>
      <c r="E95" s="187"/>
      <c r="F95" s="187"/>
      <c r="G95" s="188"/>
      <c r="H95" s="187"/>
      <c r="I95" s="189"/>
      <c r="J95" s="115"/>
      <c r="K95" s="63"/>
      <c r="L95" s="152"/>
      <c r="M95" s="152"/>
      <c r="N95" s="152"/>
      <c r="O95" s="152"/>
    </row>
    <row r="96" spans="2:15" ht="12.75" customHeight="1">
      <c r="B96" s="1264" t="s">
        <v>114</v>
      </c>
      <c r="C96" s="1265"/>
      <c r="D96" s="1265"/>
      <c r="E96" s="1265"/>
      <c r="F96" s="1265"/>
      <c r="G96" s="1265"/>
      <c r="H96" s="1265"/>
      <c r="I96" s="1283"/>
      <c r="J96" s="115"/>
      <c r="K96" s="63"/>
      <c r="L96" s="152"/>
      <c r="M96" s="152"/>
      <c r="N96" s="152"/>
      <c r="O96" s="152"/>
    </row>
    <row r="97" spans="2:15" ht="12.75" customHeight="1">
      <c r="B97" s="193"/>
      <c r="C97" s="194"/>
      <c r="D97" s="194"/>
      <c r="E97" s="194"/>
      <c r="F97" s="194"/>
      <c r="G97" s="194"/>
      <c r="H97" s="194"/>
      <c r="I97" s="195"/>
      <c r="J97" s="115"/>
      <c r="K97" s="63"/>
      <c r="L97" s="152"/>
      <c r="M97" s="152"/>
      <c r="N97" s="152"/>
      <c r="O97" s="152"/>
    </row>
    <row r="98" spans="2:16" s="154" customFormat="1" ht="12.75" customHeight="1">
      <c r="B98" s="196"/>
      <c r="C98" s="197"/>
      <c r="D98" s="197"/>
      <c r="E98" s="197"/>
      <c r="F98" s="197"/>
      <c r="G98" s="197"/>
      <c r="H98" s="197"/>
      <c r="I98" s="198"/>
      <c r="J98" s="60"/>
      <c r="K98" s="117"/>
      <c r="L98" s="3"/>
      <c r="M98" s="118"/>
      <c r="N98" s="3"/>
      <c r="O98" s="3"/>
      <c r="P98" s="3"/>
    </row>
    <row r="99" spans="2:16" s="154" customFormat="1" ht="12.75" customHeight="1">
      <c r="B99" s="199"/>
      <c r="C99" s="175"/>
      <c r="D99" s="175"/>
      <c r="E99" s="175"/>
      <c r="F99" s="175"/>
      <c r="G99" s="200"/>
      <c r="H99" s="175"/>
      <c r="I99" s="201"/>
      <c r="J99" s="60"/>
      <c r="K99" s="117"/>
      <c r="L99" s="3"/>
      <c r="M99" s="118"/>
      <c r="N99" s="3"/>
      <c r="O99" s="3"/>
      <c r="P99" s="3"/>
    </row>
    <row r="100" spans="2:16" s="154" customFormat="1" ht="12.75" customHeight="1">
      <c r="B100" s="1365" t="s">
        <v>153</v>
      </c>
      <c r="C100" s="1366"/>
      <c r="D100" s="1366"/>
      <c r="E100" s="1366"/>
      <c r="F100" s="1366"/>
      <c r="G100" s="1366"/>
      <c r="H100" s="1366"/>
      <c r="I100" s="1367"/>
      <c r="J100" s="3"/>
      <c r="K100" s="117"/>
      <c r="L100" s="3"/>
      <c r="M100" s="9"/>
      <c r="N100" s="3"/>
      <c r="O100" s="3"/>
      <c r="P100" s="3"/>
    </row>
    <row r="101" spans="2:16" s="154" customFormat="1" ht="12.75" customHeight="1">
      <c r="B101" s="52"/>
      <c r="C101" s="139"/>
      <c r="D101" s="139"/>
      <c r="E101" s="139"/>
      <c r="F101" s="60"/>
      <c r="G101" s="140"/>
      <c r="H101" s="3"/>
      <c r="I101" s="141"/>
      <c r="J101" s="3"/>
      <c r="K101" s="117"/>
      <c r="L101" s="3"/>
      <c r="M101" s="9"/>
      <c r="N101" s="3"/>
      <c r="O101" s="3"/>
      <c r="P101" s="3"/>
    </row>
    <row r="102" spans="2:16" s="154" customFormat="1" ht="12.75" customHeight="1">
      <c r="B102" s="52"/>
      <c r="C102" s="139"/>
      <c r="D102" s="1368" t="s">
        <v>154</v>
      </c>
      <c r="E102" s="1368"/>
      <c r="F102" s="1368"/>
      <c r="G102" s="203"/>
      <c r="H102" s="3"/>
      <c r="I102" s="120"/>
      <c r="J102" s="3"/>
      <c r="K102" s="182"/>
      <c r="L102" s="3"/>
      <c r="M102" s="95"/>
      <c r="N102" s="3"/>
      <c r="O102" s="3"/>
      <c r="P102" s="3"/>
    </row>
    <row r="103" spans="2:16" s="154" customFormat="1" ht="12.75" customHeight="1">
      <c r="B103" s="3"/>
      <c r="C103" s="3"/>
      <c r="D103" s="3"/>
      <c r="E103" s="3"/>
      <c r="F103" s="3"/>
      <c r="G103" s="6"/>
      <c r="H103" s="3"/>
      <c r="I103" s="7"/>
      <c r="J103" s="3"/>
      <c r="K103" s="33"/>
      <c r="L103" s="3"/>
      <c r="M103" s="9"/>
      <c r="N103" s="3"/>
      <c r="O103" s="6"/>
      <c r="P103" s="3"/>
    </row>
    <row r="104" spans="2:16" s="154" customFormat="1" ht="12.75" customHeight="1">
      <c r="B104" s="52"/>
      <c r="C104" s="139"/>
      <c r="D104" s="139"/>
      <c r="E104" s="139"/>
      <c r="F104" s="60"/>
      <c r="G104" s="140"/>
      <c r="H104" s="3"/>
      <c r="I104" s="141"/>
      <c r="J104" s="3"/>
      <c r="K104" s="117"/>
      <c r="L104" s="3"/>
      <c r="M104" s="9"/>
      <c r="N104" s="3"/>
      <c r="O104" s="3"/>
      <c r="P104" s="3"/>
    </row>
    <row r="105" spans="2:16" s="154" customFormat="1" ht="12.75" customHeight="1" thickBot="1">
      <c r="B105" s="52"/>
      <c r="C105" s="1364"/>
      <c r="D105" s="1364"/>
      <c r="E105" s="1364"/>
      <c r="F105" s="1364"/>
      <c r="G105" s="1364"/>
      <c r="H105" s="1364"/>
      <c r="I105" s="1364"/>
      <c r="J105" s="3"/>
      <c r="K105" s="204" t="s">
        <v>102</v>
      </c>
      <c r="L105" s="3"/>
      <c r="M105" s="9"/>
      <c r="N105" s="3"/>
      <c r="O105" s="3"/>
      <c r="P105" s="3"/>
    </row>
    <row r="106" spans="2:16" s="154" customFormat="1" ht="12.75" customHeight="1" thickBot="1">
      <c r="B106" s="52"/>
      <c r="C106" s="1284"/>
      <c r="D106" s="1284"/>
      <c r="E106" s="1284"/>
      <c r="F106" s="1284"/>
      <c r="G106" s="1284"/>
      <c r="H106" s="1284"/>
      <c r="I106" s="1284"/>
      <c r="J106" s="3"/>
      <c r="K106" s="172"/>
      <c r="L106" s="3"/>
      <c r="M106" s="9"/>
      <c r="N106" s="3"/>
      <c r="O106" s="3"/>
      <c r="P106" s="3"/>
    </row>
    <row r="107" spans="2:15" ht="12.75" customHeight="1">
      <c r="B107" s="1264" t="s">
        <v>114</v>
      </c>
      <c r="C107" s="1265"/>
      <c r="D107" s="1265"/>
      <c r="E107" s="1265"/>
      <c r="F107" s="1265"/>
      <c r="G107" s="1265"/>
      <c r="H107" s="1265"/>
      <c r="I107" s="1265"/>
      <c r="J107" s="130"/>
      <c r="K107" s="117"/>
      <c r="M107" s="118"/>
      <c r="O107" s="3"/>
    </row>
    <row r="108" spans="2:15" ht="12.75" customHeight="1">
      <c r="B108" s="193"/>
      <c r="C108" s="194"/>
      <c r="D108" s="194"/>
      <c r="E108" s="194"/>
      <c r="F108" s="194"/>
      <c r="G108" s="194"/>
      <c r="H108" s="194"/>
      <c r="I108" s="195"/>
      <c r="J108" s="132"/>
      <c r="K108" s="117"/>
      <c r="M108" s="118"/>
      <c r="O108" s="3"/>
    </row>
    <row r="109" spans="2:15" ht="12.75" customHeight="1">
      <c r="B109" s="196"/>
      <c r="C109" s="197"/>
      <c r="D109" s="197"/>
      <c r="E109" s="197"/>
      <c r="F109" s="197"/>
      <c r="G109" s="197"/>
      <c r="H109" s="197"/>
      <c r="I109" s="198"/>
      <c r="J109" s="132"/>
      <c r="K109" s="117"/>
      <c r="M109" s="118"/>
      <c r="O109" s="3"/>
    </row>
    <row r="110" spans="2:15" ht="12.75" customHeight="1">
      <c r="B110" s="52"/>
      <c r="C110" s="205"/>
      <c r="D110" s="205"/>
      <c r="E110" s="205"/>
      <c r="F110" s="205"/>
      <c r="G110" s="206"/>
      <c r="H110" s="205"/>
      <c r="I110" s="207"/>
      <c r="J110" s="205"/>
      <c r="K110" s="117"/>
      <c r="M110" s="118"/>
      <c r="O110" s="3"/>
    </row>
    <row r="111" spans="2:15" ht="34.5" customHeight="1">
      <c r="B111" s="1285" t="s">
        <v>155</v>
      </c>
      <c r="C111" s="1286"/>
      <c r="D111" s="1286"/>
      <c r="E111" s="1286"/>
      <c r="F111" s="1286"/>
      <c r="G111" s="1286"/>
      <c r="H111" s="1286"/>
      <c r="I111" s="1287"/>
      <c r="J111" s="115"/>
      <c r="K111" s="63"/>
      <c r="O111" s="3"/>
    </row>
    <row r="112" spans="2:15" ht="12.75" customHeight="1">
      <c r="B112" s="123"/>
      <c r="C112" s="123"/>
      <c r="D112" s="123"/>
      <c r="E112" s="123"/>
      <c r="F112" s="123"/>
      <c r="G112" s="123"/>
      <c r="H112" s="123"/>
      <c r="I112" s="123"/>
      <c r="J112" s="115"/>
      <c r="K112" s="63"/>
      <c r="O112" s="3"/>
    </row>
    <row r="113" spans="2:15" ht="12.75" customHeight="1" thickBot="1">
      <c r="B113" s="123"/>
      <c r="C113" s="88"/>
      <c r="D113" s="1258"/>
      <c r="E113" s="1258"/>
      <c r="F113" s="1258"/>
      <c r="G113" s="208"/>
      <c r="H113" s="86"/>
      <c r="I113" s="209"/>
      <c r="J113" s="88"/>
      <c r="K113" s="204" t="s">
        <v>137</v>
      </c>
      <c r="O113" s="3"/>
    </row>
    <row r="114" spans="2:15" ht="12.75" customHeight="1" thickBot="1">
      <c r="B114" s="123"/>
      <c r="C114" s="210" t="s">
        <v>156</v>
      </c>
      <c r="D114" s="1258"/>
      <c r="E114" s="1258"/>
      <c r="F114" s="1258"/>
      <c r="G114" s="208"/>
      <c r="H114" s="86"/>
      <c r="I114" s="211"/>
      <c r="J114" s="88"/>
      <c r="K114" s="172"/>
      <c r="O114" s="3"/>
    </row>
    <row r="115" spans="3:15" ht="12.75" customHeight="1" thickBot="1">
      <c r="C115" s="1261"/>
      <c r="D115" s="1261"/>
      <c r="E115" s="212"/>
      <c r="F115" s="115"/>
      <c r="G115" s="213"/>
      <c r="H115" s="115"/>
      <c r="I115" s="209"/>
      <c r="J115" s="88"/>
      <c r="K115" s="107" t="s">
        <v>99</v>
      </c>
      <c r="O115" s="3"/>
    </row>
    <row r="116" spans="3:15" ht="12.75" customHeight="1" thickBot="1">
      <c r="C116" s="212"/>
      <c r="D116" s="212"/>
      <c r="E116" s="212"/>
      <c r="F116" s="115"/>
      <c r="G116" s="214"/>
      <c r="H116" s="86"/>
      <c r="I116" s="211"/>
      <c r="J116" s="88"/>
      <c r="K116" s="172"/>
      <c r="M116" s="183"/>
      <c r="O116" s="3"/>
    </row>
    <row r="117" spans="3:15" ht="12.75" customHeight="1" thickBot="1">
      <c r="C117" s="215"/>
      <c r="D117" s="1258"/>
      <c r="E117" s="1258"/>
      <c r="F117" s="1258"/>
      <c r="G117" s="208"/>
      <c r="H117" s="86"/>
      <c r="I117" s="211"/>
      <c r="J117" s="88"/>
      <c r="K117" s="107" t="s">
        <v>102</v>
      </c>
      <c r="O117" s="3"/>
    </row>
    <row r="118" spans="3:15" ht="12.75" customHeight="1" thickBot="1">
      <c r="C118" s="88"/>
      <c r="D118" s="1322"/>
      <c r="E118" s="1322"/>
      <c r="F118" s="1322"/>
      <c r="G118" s="217"/>
      <c r="H118" s="216"/>
      <c r="I118" s="217"/>
      <c r="J118" s="218"/>
      <c r="K118" s="172"/>
      <c r="M118" s="183"/>
      <c r="O118" s="3"/>
    </row>
    <row r="119" spans="3:13" s="219" customFormat="1" ht="12.75" customHeight="1">
      <c r="C119" s="125"/>
      <c r="D119" s="125"/>
      <c r="E119" s="125"/>
      <c r="F119" s="125"/>
      <c r="G119" s="220"/>
      <c r="H119" s="216"/>
      <c r="I119" s="220"/>
      <c r="J119" s="216"/>
      <c r="K119" s="221"/>
      <c r="M119" s="222"/>
    </row>
    <row r="120" spans="2:15" ht="12.75" customHeight="1">
      <c r="B120" s="1264" t="s">
        <v>114</v>
      </c>
      <c r="C120" s="1265"/>
      <c r="D120" s="1265"/>
      <c r="E120" s="1265"/>
      <c r="F120" s="1265"/>
      <c r="G120" s="1265"/>
      <c r="H120" s="1265"/>
      <c r="I120" s="1283"/>
      <c r="J120" s="129"/>
      <c r="K120" s="223"/>
      <c r="M120" s="156"/>
      <c r="O120" s="3"/>
    </row>
    <row r="121" spans="2:15" ht="12.75" customHeight="1">
      <c r="B121" s="193"/>
      <c r="C121" s="194"/>
      <c r="D121" s="194"/>
      <c r="E121" s="194"/>
      <c r="F121" s="194"/>
      <c r="G121" s="194"/>
      <c r="H121" s="194"/>
      <c r="I121" s="195"/>
      <c r="J121" s="129"/>
      <c r="K121" s="223"/>
      <c r="M121" s="156"/>
      <c r="O121" s="3"/>
    </row>
    <row r="122" spans="2:15" ht="12.75" customHeight="1">
      <c r="B122" s="196"/>
      <c r="C122" s="197"/>
      <c r="D122" s="197"/>
      <c r="E122" s="197"/>
      <c r="F122" s="197"/>
      <c r="G122" s="197"/>
      <c r="H122" s="197"/>
      <c r="I122" s="198"/>
      <c r="J122" s="129"/>
      <c r="K122" s="223"/>
      <c r="M122" s="156"/>
      <c r="O122" s="3"/>
    </row>
    <row r="123" spans="3:15" ht="12.75" customHeight="1">
      <c r="C123" s="88"/>
      <c r="D123" s="88"/>
      <c r="E123" s="88"/>
      <c r="F123" s="88"/>
      <c r="G123" s="224"/>
      <c r="H123" s="55"/>
      <c r="I123" s="224"/>
      <c r="J123" s="129"/>
      <c r="K123" s="223"/>
      <c r="M123" s="156"/>
      <c r="O123" s="3"/>
    </row>
    <row r="124" spans="3:15" ht="12.75" customHeight="1">
      <c r="C124" s="88"/>
      <c r="D124" s="88"/>
      <c r="E124" s="88"/>
      <c r="F124" s="88"/>
      <c r="G124" s="224"/>
      <c r="H124" s="55"/>
      <c r="I124" s="224"/>
      <c r="J124" s="129"/>
      <c r="K124" s="223"/>
      <c r="M124" s="156"/>
      <c r="O124" s="3"/>
    </row>
    <row r="125" spans="1:15" ht="25.5" customHeight="1">
      <c r="A125" s="52"/>
      <c r="B125" s="1357" t="s">
        <v>157</v>
      </c>
      <c r="C125" s="1358"/>
      <c r="D125" s="1358"/>
      <c r="E125" s="1358"/>
      <c r="F125" s="1358"/>
      <c r="G125" s="1358"/>
      <c r="H125" s="1358"/>
      <c r="I125" s="1359"/>
      <c r="J125" s="129"/>
      <c r="K125" s="223"/>
      <c r="M125" s="156"/>
      <c r="O125" s="3"/>
    </row>
    <row r="126" spans="1:15" ht="12.75" customHeight="1" thickBot="1">
      <c r="A126" s="52"/>
      <c r="B126" s="52"/>
      <c r="C126" s="115"/>
      <c r="D126" s="115"/>
      <c r="E126" s="115"/>
      <c r="F126" s="115"/>
      <c r="G126" s="224"/>
      <c r="H126" s="55"/>
      <c r="I126" s="224"/>
      <c r="J126" s="129"/>
      <c r="K126" s="223"/>
      <c r="M126" s="156"/>
      <c r="O126" s="3"/>
    </row>
    <row r="127" spans="2:15" ht="12.75" customHeight="1" thickBot="1">
      <c r="B127" s="123"/>
      <c r="C127" s="1315" t="s">
        <v>158</v>
      </c>
      <c r="D127" s="1315"/>
      <c r="E127" s="212"/>
      <c r="F127" s="115"/>
      <c r="G127" s="213">
        <f>+'Table 3a'!AA119</f>
        <v>988</v>
      </c>
      <c r="H127" s="115"/>
      <c r="I127" s="225"/>
      <c r="J127" s="88"/>
      <c r="K127" s="172"/>
      <c r="M127" s="183"/>
      <c r="O127" s="3"/>
    </row>
    <row r="128" spans="2:15" ht="12.75" customHeight="1">
      <c r="B128" s="123"/>
      <c r="C128" s="174"/>
      <c r="D128" s="174"/>
      <c r="E128" s="212"/>
      <c r="F128" s="115"/>
      <c r="J128" s="88"/>
      <c r="O128" s="3"/>
    </row>
    <row r="129" spans="2:15" ht="12.75" customHeight="1">
      <c r="B129" s="123"/>
      <c r="C129" s="174"/>
      <c r="D129" s="174"/>
      <c r="E129" s="212"/>
      <c r="F129" s="115"/>
      <c r="J129" s="88"/>
      <c r="K129" s="180" t="s">
        <v>102</v>
      </c>
      <c r="O129" s="3"/>
    </row>
    <row r="130" spans="2:15" ht="12.75" customHeight="1">
      <c r="B130" s="123"/>
      <c r="C130" s="174"/>
      <c r="D130" s="174"/>
      <c r="E130" s="212"/>
      <c r="F130" s="115"/>
      <c r="J130" s="88"/>
      <c r="K130" s="182">
        <f>+'Table 3a'!AK119</f>
        <v>5029418</v>
      </c>
      <c r="O130" s="3"/>
    </row>
    <row r="131" spans="2:15" ht="12.75" customHeight="1">
      <c r="B131" s="123"/>
      <c r="C131" s="174"/>
      <c r="D131" s="174"/>
      <c r="E131" s="212"/>
      <c r="F131" s="115"/>
      <c r="J131" s="88"/>
      <c r="O131" s="3"/>
    </row>
    <row r="132" spans="2:15" ht="12.75" customHeight="1">
      <c r="B132" s="1264" t="s">
        <v>114</v>
      </c>
      <c r="C132" s="1265"/>
      <c r="D132" s="1265"/>
      <c r="E132" s="1265"/>
      <c r="F132" s="1265"/>
      <c r="G132" s="1265"/>
      <c r="H132" s="1265"/>
      <c r="I132" s="1265"/>
      <c r="J132" s="130"/>
      <c r="K132" s="117"/>
      <c r="M132" s="118"/>
      <c r="O132" s="3"/>
    </row>
    <row r="133" spans="2:15" ht="43.5" customHeight="1">
      <c r="B133" s="1280" t="s">
        <v>159</v>
      </c>
      <c r="C133" s="1281"/>
      <c r="D133" s="1281"/>
      <c r="E133" s="1281"/>
      <c r="F133" s="1281"/>
      <c r="G133" s="1281"/>
      <c r="H133" s="1281"/>
      <c r="I133" s="1282"/>
      <c r="J133" s="132"/>
      <c r="K133" s="117"/>
      <c r="M133" s="118"/>
      <c r="O133" s="3"/>
    </row>
    <row r="134" spans="2:15" ht="12.75">
      <c r="B134" s="1272" t="s">
        <v>160</v>
      </c>
      <c r="C134" s="1272"/>
      <c r="D134" s="1272"/>
      <c r="E134" s="1272"/>
      <c r="F134" s="1272"/>
      <c r="G134" s="1272"/>
      <c r="H134" s="1272"/>
      <c r="I134" s="1272"/>
      <c r="J134" s="132"/>
      <c r="K134" s="117"/>
      <c r="M134" s="118"/>
      <c r="O134" s="3"/>
    </row>
    <row r="135" spans="2:15" ht="12.75" customHeight="1">
      <c r="B135" s="196"/>
      <c r="C135" s="197"/>
      <c r="D135" s="197"/>
      <c r="E135" s="197"/>
      <c r="F135" s="197"/>
      <c r="G135" s="197"/>
      <c r="H135" s="197"/>
      <c r="I135" s="198"/>
      <c r="J135" s="132"/>
      <c r="K135" s="117"/>
      <c r="M135" s="118"/>
      <c r="O135" s="3"/>
    </row>
    <row r="136" spans="2:15" ht="12.75" customHeight="1">
      <c r="B136" s="52"/>
      <c r="C136" s="205"/>
      <c r="D136" s="205"/>
      <c r="E136" s="205"/>
      <c r="F136" s="205"/>
      <c r="G136" s="206"/>
      <c r="H136" s="205"/>
      <c r="I136" s="207"/>
      <c r="J136" s="205"/>
      <c r="K136" s="117"/>
      <c r="M136" s="118"/>
      <c r="O136" s="3"/>
    </row>
    <row r="137" spans="2:15" ht="12.75" customHeight="1">
      <c r="B137" s="52"/>
      <c r="C137" s="205"/>
      <c r="D137" s="205"/>
      <c r="E137" s="205"/>
      <c r="F137" s="205"/>
      <c r="G137" s="206"/>
      <c r="H137" s="205"/>
      <c r="I137" s="207"/>
      <c r="J137" s="205"/>
      <c r="K137" s="117"/>
      <c r="M137" s="118"/>
      <c r="O137" s="3"/>
    </row>
    <row r="138" spans="2:15" ht="27.75" customHeight="1">
      <c r="B138" s="1357" t="s">
        <v>161</v>
      </c>
      <c r="C138" s="1358"/>
      <c r="D138" s="1358"/>
      <c r="E138" s="1358"/>
      <c r="F138" s="1358"/>
      <c r="G138" s="1358"/>
      <c r="H138" s="1358"/>
      <c r="I138" s="1359"/>
      <c r="J138" s="205"/>
      <c r="K138" s="117"/>
      <c r="M138" s="118"/>
      <c r="O138" s="3"/>
    </row>
    <row r="139" spans="2:15" ht="27.75" customHeight="1">
      <c r="B139" s="226"/>
      <c r="C139" s="227"/>
      <c r="D139" s="227"/>
      <c r="E139" s="227"/>
      <c r="F139" s="227"/>
      <c r="G139" s="227"/>
      <c r="H139" s="227"/>
      <c r="I139" s="227"/>
      <c r="J139" s="205"/>
      <c r="K139" s="117"/>
      <c r="M139" s="118"/>
      <c r="O139" s="3"/>
    </row>
    <row r="140" spans="2:15" ht="12.75" customHeight="1">
      <c r="B140" s="52"/>
      <c r="C140" s="205"/>
      <c r="D140" s="205"/>
      <c r="E140" s="205"/>
      <c r="F140" s="205"/>
      <c r="G140" s="206"/>
      <c r="H140" s="205"/>
      <c r="I140" s="228"/>
      <c r="J140" s="205"/>
      <c r="K140" s="182"/>
      <c r="M140" s="95"/>
      <c r="O140" s="3"/>
    </row>
    <row r="141" spans="2:15" ht="12.75" customHeight="1" thickBot="1">
      <c r="B141" s="52"/>
      <c r="C141" s="205"/>
      <c r="D141" s="205"/>
      <c r="E141" s="205"/>
      <c r="F141" s="205"/>
      <c r="G141" s="206"/>
      <c r="H141" s="205"/>
      <c r="I141" s="207"/>
      <c r="J141" s="205"/>
      <c r="K141" s="204" t="s">
        <v>137</v>
      </c>
      <c r="M141" s="118"/>
      <c r="O141" s="3"/>
    </row>
    <row r="142" spans="2:15" ht="12.75" customHeight="1" thickBot="1">
      <c r="B142" s="52"/>
      <c r="C142" s="205"/>
      <c r="D142" s="205"/>
      <c r="E142" s="205"/>
      <c r="F142" s="205"/>
      <c r="G142" s="206"/>
      <c r="H142" s="205"/>
      <c r="I142" s="207"/>
      <c r="J142" s="205"/>
      <c r="K142" s="172"/>
      <c r="M142" s="118"/>
      <c r="O142" s="3"/>
    </row>
    <row r="143" spans="2:15" ht="12.75" customHeight="1">
      <c r="B143" s="52"/>
      <c r="C143" s="205"/>
      <c r="D143" s="205"/>
      <c r="E143" s="205"/>
      <c r="F143" s="205"/>
      <c r="G143" s="206"/>
      <c r="H143" s="205"/>
      <c r="I143" s="228"/>
      <c r="J143" s="205"/>
      <c r="K143" s="229"/>
      <c r="M143" s="95"/>
      <c r="O143" s="3"/>
    </row>
    <row r="144" spans="2:15" ht="12.75" customHeight="1" thickBot="1">
      <c r="B144" s="52"/>
      <c r="C144" s="205"/>
      <c r="D144" s="205"/>
      <c r="E144" s="205"/>
      <c r="F144" s="205"/>
      <c r="G144" s="206"/>
      <c r="H144" s="205"/>
      <c r="I144" s="207"/>
      <c r="J144" s="205"/>
      <c r="K144" s="111" t="s">
        <v>99</v>
      </c>
      <c r="M144" s="118"/>
      <c r="O144" s="3"/>
    </row>
    <row r="145" spans="2:15" ht="12.75" customHeight="1" thickBot="1">
      <c r="B145" s="52"/>
      <c r="C145" s="205"/>
      <c r="D145" s="205"/>
      <c r="E145" s="205"/>
      <c r="F145" s="205"/>
      <c r="G145" s="206"/>
      <c r="H145" s="205"/>
      <c r="I145" s="207"/>
      <c r="J145" s="205"/>
      <c r="K145" s="230"/>
      <c r="M145" s="118"/>
      <c r="O145" s="3"/>
    </row>
    <row r="146" spans="2:15" ht="12.75" customHeight="1">
      <c r="B146" s="52"/>
      <c r="C146" s="205"/>
      <c r="D146" s="205"/>
      <c r="E146" s="205"/>
      <c r="F146" s="205"/>
      <c r="G146" s="206"/>
      <c r="H146" s="205"/>
      <c r="I146" s="228"/>
      <c r="J146" s="205"/>
      <c r="K146" s="229"/>
      <c r="M146" s="95"/>
      <c r="O146" s="3"/>
    </row>
    <row r="147" spans="2:13" s="168" customFormat="1" ht="12.75" customHeight="1">
      <c r="B147" s="1271"/>
      <c r="C147" s="1271"/>
      <c r="D147" s="1271"/>
      <c r="E147" s="1271"/>
      <c r="F147" s="1271"/>
      <c r="G147" s="1271"/>
      <c r="H147" s="1271"/>
      <c r="I147" s="1271"/>
      <c r="J147" s="231"/>
      <c r="K147" s="180" t="s">
        <v>102</v>
      </c>
      <c r="M147" s="232"/>
    </row>
    <row r="148" spans="2:13" s="235" customFormat="1" ht="12.75" customHeight="1">
      <c r="B148" s="233"/>
      <c r="C148" s="233"/>
      <c r="D148" s="233"/>
      <c r="E148" s="233"/>
      <c r="F148" s="233"/>
      <c r="G148" s="233"/>
      <c r="H148" s="233"/>
      <c r="I148" s="233"/>
      <c r="J148" s="234"/>
      <c r="K148" s="182"/>
      <c r="M148" s="236"/>
    </row>
    <row r="149" spans="2:13" s="235" customFormat="1" ht="12.75" customHeight="1">
      <c r="B149" s="233"/>
      <c r="C149" s="233"/>
      <c r="D149" s="233"/>
      <c r="E149" s="233"/>
      <c r="F149" s="233"/>
      <c r="G149" s="233"/>
      <c r="H149" s="233"/>
      <c r="I149" s="233"/>
      <c r="J149" s="234"/>
      <c r="K149" s="155"/>
      <c r="M149" s="236"/>
    </row>
    <row r="150" spans="2:13" s="235" customFormat="1" ht="12.75" customHeight="1">
      <c r="B150" s="1264" t="s">
        <v>114</v>
      </c>
      <c r="C150" s="1265"/>
      <c r="D150" s="1265"/>
      <c r="E150" s="1265"/>
      <c r="F150" s="1265"/>
      <c r="G150" s="1265"/>
      <c r="H150" s="1265"/>
      <c r="I150" s="1283"/>
      <c r="J150" s="234"/>
      <c r="K150" s="155"/>
      <c r="M150" s="236"/>
    </row>
    <row r="151" spans="2:13" s="235" customFormat="1" ht="12.75" customHeight="1">
      <c r="B151" s="193"/>
      <c r="C151" s="194"/>
      <c r="D151" s="194"/>
      <c r="E151" s="194"/>
      <c r="F151" s="194"/>
      <c r="G151" s="194"/>
      <c r="H151" s="194"/>
      <c r="I151" s="195"/>
      <c r="J151" s="234"/>
      <c r="K151" s="155"/>
      <c r="M151" s="236"/>
    </row>
    <row r="152" spans="2:13" s="235" customFormat="1" ht="12.75" customHeight="1">
      <c r="B152" s="196"/>
      <c r="C152" s="197"/>
      <c r="D152" s="197"/>
      <c r="E152" s="197"/>
      <c r="F152" s="197"/>
      <c r="G152" s="197"/>
      <c r="H152" s="197"/>
      <c r="I152" s="198"/>
      <c r="J152" s="234"/>
      <c r="K152" s="155"/>
      <c r="M152" s="236"/>
    </row>
    <row r="153" spans="2:13" s="235" customFormat="1" ht="12.75" customHeight="1">
      <c r="B153" s="60"/>
      <c r="C153" s="60"/>
      <c r="D153" s="60"/>
      <c r="E153" s="60"/>
      <c r="F153" s="60"/>
      <c r="G153" s="61"/>
      <c r="H153" s="60"/>
      <c r="I153" s="62"/>
      <c r="J153" s="234"/>
      <c r="K153" s="155"/>
      <c r="M153" s="236"/>
    </row>
    <row r="154" spans="2:13" s="235" customFormat="1" ht="24.75" customHeight="1">
      <c r="B154" s="1357" t="s">
        <v>162</v>
      </c>
      <c r="C154" s="1358"/>
      <c r="D154" s="1358"/>
      <c r="E154" s="1358"/>
      <c r="F154" s="1358"/>
      <c r="G154" s="1358"/>
      <c r="H154" s="1358"/>
      <c r="I154" s="1359"/>
      <c r="J154" s="234"/>
      <c r="K154" s="155"/>
      <c r="M154" s="236"/>
    </row>
    <row r="155" spans="2:13" s="235" customFormat="1" ht="12.75" customHeight="1">
      <c r="B155" s="60"/>
      <c r="C155" s="60"/>
      <c r="D155" s="60"/>
      <c r="E155" s="60"/>
      <c r="F155" s="60"/>
      <c r="G155" s="61"/>
      <c r="H155" s="60"/>
      <c r="I155" s="62"/>
      <c r="J155" s="234"/>
      <c r="K155" s="155"/>
      <c r="M155" s="236"/>
    </row>
    <row r="156" spans="2:13" s="59" customFormat="1" ht="12.75" customHeight="1">
      <c r="B156" s="123"/>
      <c r="C156" s="123"/>
      <c r="D156" s="123"/>
      <c r="E156" s="123"/>
      <c r="F156" s="123"/>
      <c r="G156" s="123"/>
      <c r="H156" s="123"/>
      <c r="I156" s="123"/>
      <c r="J156" s="231"/>
      <c r="K156" s="221"/>
      <c r="M156" s="64"/>
    </row>
    <row r="157" spans="2:13" s="59" customFormat="1" ht="27" customHeight="1">
      <c r="B157" s="1285" t="s">
        <v>163</v>
      </c>
      <c r="C157" s="1286"/>
      <c r="D157" s="1286"/>
      <c r="E157" s="1286"/>
      <c r="F157" s="1286"/>
      <c r="G157" s="1286"/>
      <c r="H157" s="1286"/>
      <c r="I157" s="1287"/>
      <c r="J157" s="231"/>
      <c r="K157" s="63"/>
      <c r="M157" s="64"/>
    </row>
    <row r="158" spans="2:13" s="59" customFormat="1" ht="12.75" customHeight="1">
      <c r="B158" s="123"/>
      <c r="C158" s="123"/>
      <c r="D158" s="123"/>
      <c r="E158" s="123"/>
      <c r="F158" s="123"/>
      <c r="G158" s="123"/>
      <c r="H158" s="123"/>
      <c r="I158" s="123"/>
      <c r="J158" s="231"/>
      <c r="K158" s="63"/>
      <c r="M158" s="64"/>
    </row>
    <row r="159" spans="2:14" s="59" customFormat="1" ht="12.75" customHeight="1">
      <c r="B159" s="123"/>
      <c r="C159" s="1315" t="s">
        <v>85</v>
      </c>
      <c r="D159" s="1315"/>
      <c r="E159" s="212"/>
      <c r="F159" s="205"/>
      <c r="G159" s="6"/>
      <c r="H159" s="3"/>
      <c r="I159" s="70"/>
      <c r="J159" s="88"/>
      <c r="K159" s="33"/>
      <c r="L159" s="3"/>
      <c r="M159" s="9"/>
      <c r="N159" s="3"/>
    </row>
    <row r="160" spans="2:14" s="59" customFormat="1" ht="12.75" customHeight="1" thickBot="1">
      <c r="B160" s="123"/>
      <c r="C160" s="88"/>
      <c r="D160" s="1258"/>
      <c r="E160" s="1258"/>
      <c r="F160" s="1258"/>
      <c r="G160" s="208"/>
      <c r="H160" s="86"/>
      <c r="I160" s="211"/>
      <c r="J160" s="88"/>
      <c r="K160" s="204" t="s">
        <v>137</v>
      </c>
      <c r="L160" s="3"/>
      <c r="M160" s="9"/>
      <c r="N160" s="3"/>
    </row>
    <row r="161" spans="2:14" s="59" customFormat="1" ht="12.75" customHeight="1" thickBot="1">
      <c r="B161" s="123"/>
      <c r="C161" s="215"/>
      <c r="D161" s="1258"/>
      <c r="E161" s="1258"/>
      <c r="F161" s="1258"/>
      <c r="G161" s="208"/>
      <c r="H161" s="86"/>
      <c r="I161" s="211"/>
      <c r="J161" s="88"/>
      <c r="K161" s="172"/>
      <c r="L161" s="3"/>
      <c r="M161" s="183"/>
      <c r="N161" s="3"/>
    </row>
    <row r="162" spans="3:15" ht="12.75" customHeight="1">
      <c r="C162" s="1261" t="s">
        <v>164</v>
      </c>
      <c r="D162" s="1261"/>
      <c r="E162" s="212"/>
      <c r="F162" s="205"/>
      <c r="G162" s="237"/>
      <c r="I162" s="70"/>
      <c r="J162" s="88"/>
      <c r="M162" s="108"/>
      <c r="O162" s="3"/>
    </row>
    <row r="163" spans="3:15" ht="24.75" customHeight="1">
      <c r="C163" s="88"/>
      <c r="D163" s="1309" t="s">
        <v>165</v>
      </c>
      <c r="E163" s="1309"/>
      <c r="F163" s="1309"/>
      <c r="G163" s="238" t="s">
        <v>166</v>
      </c>
      <c r="H163" s="86"/>
      <c r="I163" s="239">
        <v>11.45</v>
      </c>
      <c r="J163" s="88"/>
      <c r="O163" s="3"/>
    </row>
    <row r="164" spans="3:15" ht="25.5" customHeight="1" thickBot="1">
      <c r="C164" s="88"/>
      <c r="D164" s="1309" t="s">
        <v>167</v>
      </c>
      <c r="E164" s="1309"/>
      <c r="F164" s="1309"/>
      <c r="G164" s="238" t="s">
        <v>166</v>
      </c>
      <c r="H164" s="86"/>
      <c r="I164" s="240">
        <v>12.36</v>
      </c>
      <c r="J164" s="88"/>
      <c r="K164" s="107" t="s">
        <v>99</v>
      </c>
      <c r="O164" s="3"/>
    </row>
    <row r="165" spans="3:15" ht="65.25" customHeight="1" thickBot="1">
      <c r="C165" s="215"/>
      <c r="D165" s="1309" t="s">
        <v>168</v>
      </c>
      <c r="E165" s="1309"/>
      <c r="F165" s="1309"/>
      <c r="G165" s="238" t="s">
        <v>169</v>
      </c>
      <c r="H165" s="86"/>
      <c r="I165" s="240">
        <v>2176</v>
      </c>
      <c r="J165" s="88"/>
      <c r="K165" s="172">
        <f>+'Table 3a'!AP94</f>
        <v>943991</v>
      </c>
      <c r="M165" s="183"/>
      <c r="O165" s="3"/>
    </row>
    <row r="166" spans="3:15" ht="12.75" customHeight="1">
      <c r="C166" s="1262" t="s">
        <v>170</v>
      </c>
      <c r="D166" s="1262"/>
      <c r="E166" s="241"/>
      <c r="F166" s="115"/>
      <c r="G166" s="242"/>
      <c r="H166" s="115"/>
      <c r="I166" s="243"/>
      <c r="J166" s="88"/>
      <c r="O166" s="3"/>
    </row>
    <row r="167" spans="3:15" ht="37.5" customHeight="1">
      <c r="C167" s="88"/>
      <c r="D167" s="1309" t="s">
        <v>165</v>
      </c>
      <c r="E167" s="1309"/>
      <c r="F167" s="1309"/>
      <c r="G167" s="238" t="s">
        <v>166</v>
      </c>
      <c r="H167" s="86"/>
      <c r="I167" s="240">
        <f>I163</f>
        <v>11.45</v>
      </c>
      <c r="J167" s="88"/>
      <c r="O167" s="3"/>
    </row>
    <row r="168" spans="3:15" ht="37.5" customHeight="1" thickBot="1">
      <c r="C168" s="88"/>
      <c r="D168" s="1309" t="s">
        <v>167</v>
      </c>
      <c r="E168" s="1309"/>
      <c r="F168" s="1309"/>
      <c r="G168" s="238" t="s">
        <v>166</v>
      </c>
      <c r="H168" s="86"/>
      <c r="I168" s="240">
        <f>I164</f>
        <v>12.36</v>
      </c>
      <c r="J168" s="88"/>
      <c r="K168" s="204" t="s">
        <v>102</v>
      </c>
      <c r="O168" s="3"/>
    </row>
    <row r="169" spans="3:15" ht="66" customHeight="1" thickBot="1">
      <c r="C169" s="88"/>
      <c r="D169" s="1309" t="s">
        <v>168</v>
      </c>
      <c r="E169" s="1309"/>
      <c r="F169" s="1309"/>
      <c r="G169" s="238" t="s">
        <v>169</v>
      </c>
      <c r="H169" s="86"/>
      <c r="I169" s="240">
        <f>I165</f>
        <v>2176</v>
      </c>
      <c r="J169" s="88"/>
      <c r="K169" s="172">
        <f>+'Table 3a'!AP126</f>
        <v>675524</v>
      </c>
      <c r="M169" s="183"/>
      <c r="O169" s="3"/>
    </row>
    <row r="170" spans="3:15" ht="12.75" customHeight="1">
      <c r="C170" s="88"/>
      <c r="D170" s="88"/>
      <c r="E170" s="88"/>
      <c r="F170" s="88"/>
      <c r="G170" s="244"/>
      <c r="H170" s="55"/>
      <c r="I170" s="224"/>
      <c r="J170" s="55"/>
      <c r="K170" s="223"/>
      <c r="M170" s="156"/>
      <c r="O170" s="3"/>
    </row>
    <row r="171" spans="2:15" ht="12.75" customHeight="1">
      <c r="B171" s="1264" t="s">
        <v>114</v>
      </c>
      <c r="C171" s="1265"/>
      <c r="D171" s="1265"/>
      <c r="E171" s="1265"/>
      <c r="F171" s="1265"/>
      <c r="G171" s="1265"/>
      <c r="H171" s="1265"/>
      <c r="I171" s="1283"/>
      <c r="J171" s="55"/>
      <c r="K171" s="223"/>
      <c r="M171" s="156"/>
      <c r="O171" s="3"/>
    </row>
    <row r="172" spans="2:15" ht="33" customHeight="1">
      <c r="B172" s="1387" t="s">
        <v>171</v>
      </c>
      <c r="C172" s="1387"/>
      <c r="D172" s="1387"/>
      <c r="E172" s="1387"/>
      <c r="F172" s="1387"/>
      <c r="G172" s="1387"/>
      <c r="H172" s="1387"/>
      <c r="I172" s="1387"/>
      <c r="J172" s="55"/>
      <c r="K172" s="223"/>
      <c r="M172" s="156"/>
      <c r="O172" s="3"/>
    </row>
    <row r="173" spans="2:15" ht="15">
      <c r="B173" s="1387" t="s">
        <v>172</v>
      </c>
      <c r="C173" s="1387"/>
      <c r="D173" s="1387"/>
      <c r="E173" s="1387"/>
      <c r="F173" s="1387"/>
      <c r="G173" s="1387"/>
      <c r="H173" s="1387"/>
      <c r="I173" s="1387"/>
      <c r="J173" s="55"/>
      <c r="K173" s="223"/>
      <c r="M173" s="156"/>
      <c r="O173" s="3"/>
    </row>
    <row r="174" spans="2:15" ht="28.5" customHeight="1">
      <c r="B174" s="1387" t="s">
        <v>173</v>
      </c>
      <c r="C174" s="1387"/>
      <c r="D174" s="1387"/>
      <c r="E174" s="1387"/>
      <c r="F174" s="1387"/>
      <c r="G174" s="1387"/>
      <c r="H174" s="1387"/>
      <c r="I174" s="1387"/>
      <c r="J174" s="55"/>
      <c r="K174" s="223"/>
      <c r="M174" s="156"/>
      <c r="O174" s="3"/>
    </row>
    <row r="175" spans="2:15" ht="27.75" customHeight="1">
      <c r="B175" s="1387" t="s">
        <v>174</v>
      </c>
      <c r="C175" s="1387"/>
      <c r="D175" s="1387"/>
      <c r="E175" s="1387"/>
      <c r="F175" s="1387"/>
      <c r="G175" s="1387"/>
      <c r="H175" s="1387"/>
      <c r="I175" s="1387"/>
      <c r="J175" s="55"/>
      <c r="K175" s="223"/>
      <c r="M175" s="156"/>
      <c r="O175" s="3"/>
    </row>
    <row r="176" spans="2:15" ht="56.25" customHeight="1">
      <c r="B176" s="1383" t="s">
        <v>175</v>
      </c>
      <c r="C176" s="1384"/>
      <c r="D176" s="1384"/>
      <c r="E176" s="1384"/>
      <c r="F176" s="1384"/>
      <c r="G176" s="1384"/>
      <c r="H176" s="1384"/>
      <c r="I176" s="1385"/>
      <c r="J176" s="55"/>
      <c r="K176" s="223"/>
      <c r="M176" s="156"/>
      <c r="O176" s="3"/>
    </row>
    <row r="177" spans="2:15" ht="12.75" customHeight="1">
      <c r="B177" s="196"/>
      <c r="C177" s="197"/>
      <c r="D177" s="197"/>
      <c r="E177" s="197"/>
      <c r="F177" s="197"/>
      <c r="G177" s="197"/>
      <c r="H177" s="197"/>
      <c r="I177" s="198"/>
      <c r="J177" s="55"/>
      <c r="K177" s="223"/>
      <c r="M177" s="156"/>
      <c r="O177" s="3"/>
    </row>
    <row r="178" spans="3:15" ht="12.75" customHeight="1">
      <c r="C178" s="88"/>
      <c r="D178" s="88"/>
      <c r="E178" s="88"/>
      <c r="F178" s="88"/>
      <c r="G178" s="244"/>
      <c r="H178" s="55"/>
      <c r="I178" s="224"/>
      <c r="J178" s="55"/>
      <c r="K178" s="223"/>
      <c r="M178" s="156"/>
      <c r="O178" s="3"/>
    </row>
    <row r="179" spans="3:15" ht="12.75" customHeight="1">
      <c r="C179" s="88"/>
      <c r="D179" s="88"/>
      <c r="E179" s="88"/>
      <c r="F179" s="88"/>
      <c r="G179" s="244"/>
      <c r="H179" s="55"/>
      <c r="I179" s="224"/>
      <c r="J179" s="55"/>
      <c r="K179" s="223"/>
      <c r="M179" s="156"/>
      <c r="O179" s="3"/>
    </row>
    <row r="180" spans="2:15" ht="12.75" customHeight="1">
      <c r="B180" s="1357" t="s">
        <v>176</v>
      </c>
      <c r="C180" s="1358"/>
      <c r="D180" s="1358"/>
      <c r="E180" s="1358"/>
      <c r="F180" s="1358"/>
      <c r="G180" s="1358"/>
      <c r="H180" s="1358"/>
      <c r="I180" s="1359"/>
      <c r="J180" s="231"/>
      <c r="K180" s="63"/>
      <c r="L180" s="59"/>
      <c r="M180" s="64"/>
      <c r="O180" s="3"/>
    </row>
    <row r="181" spans="2:15" ht="12.75" customHeight="1">
      <c r="B181" s="123"/>
      <c r="C181" s="123"/>
      <c r="D181" s="123"/>
      <c r="E181" s="123"/>
      <c r="F181" s="123"/>
      <c r="G181" s="123"/>
      <c r="H181" s="123"/>
      <c r="I181" s="123"/>
      <c r="J181" s="231"/>
      <c r="K181" s="63"/>
      <c r="L181" s="59"/>
      <c r="M181" s="64"/>
      <c r="O181" s="3"/>
    </row>
    <row r="182" spans="2:15" ht="12.75" customHeight="1">
      <c r="B182" s="123"/>
      <c r="C182" s="1315" t="s">
        <v>85</v>
      </c>
      <c r="D182" s="1315"/>
      <c r="E182" s="212"/>
      <c r="F182" s="205"/>
      <c r="I182" s="70"/>
      <c r="J182" s="88"/>
      <c r="O182" s="3"/>
    </row>
    <row r="183" spans="2:15" ht="12.75" customHeight="1">
      <c r="B183" s="123"/>
      <c r="C183" s="215"/>
      <c r="D183" s="1258"/>
      <c r="E183" s="1258"/>
      <c r="F183" s="1258"/>
      <c r="G183" s="208"/>
      <c r="H183" s="86"/>
      <c r="I183" s="209"/>
      <c r="J183" s="88"/>
      <c r="O183" s="3"/>
    </row>
    <row r="184" spans="2:15" ht="12.75" customHeight="1">
      <c r="B184" s="123"/>
      <c r="C184" s="88"/>
      <c r="D184" s="1258"/>
      <c r="E184" s="1258"/>
      <c r="F184" s="1258"/>
      <c r="G184" s="208"/>
      <c r="H184" s="86"/>
      <c r="I184" s="211"/>
      <c r="J184" s="88"/>
      <c r="O184" s="3"/>
    </row>
    <row r="185" spans="2:15" ht="12.75" customHeight="1" thickBot="1">
      <c r="B185" s="123"/>
      <c r="C185" s="88"/>
      <c r="D185" s="1258"/>
      <c r="E185" s="1258"/>
      <c r="F185" s="1258"/>
      <c r="G185" s="208"/>
      <c r="H185" s="86"/>
      <c r="I185" s="211"/>
      <c r="J185" s="88"/>
      <c r="K185" s="204" t="s">
        <v>137</v>
      </c>
      <c r="O185" s="3"/>
    </row>
    <row r="186" spans="2:15" ht="12.75" customHeight="1" thickBot="1">
      <c r="B186" s="123"/>
      <c r="C186" s="215"/>
      <c r="D186" s="1258"/>
      <c r="E186" s="1258"/>
      <c r="F186" s="1258"/>
      <c r="G186" s="208"/>
      <c r="H186" s="86"/>
      <c r="I186" s="211"/>
      <c r="J186" s="88"/>
      <c r="K186" s="172"/>
      <c r="M186" s="183"/>
      <c r="O186" s="3"/>
    </row>
    <row r="187" spans="3:15" ht="12.75" customHeight="1">
      <c r="C187" s="1261" t="s">
        <v>164</v>
      </c>
      <c r="D187" s="1261"/>
      <c r="E187" s="212"/>
      <c r="F187" s="205"/>
      <c r="I187" s="70"/>
      <c r="J187" s="88"/>
      <c r="O187" s="3"/>
    </row>
    <row r="188" spans="1:15" ht="12.75" customHeight="1">
      <c r="A188" t="s">
        <v>177</v>
      </c>
      <c r="B188"/>
      <c r="C188" s="245" t="s">
        <v>178</v>
      </c>
      <c r="D188" s="1273" t="s">
        <v>179</v>
      </c>
      <c r="E188" s="1273"/>
      <c r="F188" s="1274"/>
      <c r="G188" s="246" t="s">
        <v>180</v>
      </c>
      <c r="H188" s="86"/>
      <c r="I188" s="239">
        <v>660.81</v>
      </c>
      <c r="J188" s="88"/>
      <c r="O188" s="3"/>
    </row>
    <row r="189" spans="1:15" ht="12.75" customHeight="1">
      <c r="A189" t="s">
        <v>177</v>
      </c>
      <c r="B189"/>
      <c r="C189" s="245" t="s">
        <v>178</v>
      </c>
      <c r="D189" s="1273" t="s">
        <v>179</v>
      </c>
      <c r="E189" s="1273"/>
      <c r="F189" s="1274"/>
      <c r="G189" s="246" t="s">
        <v>181</v>
      </c>
      <c r="H189" s="86"/>
      <c r="I189" s="240">
        <v>164.14</v>
      </c>
      <c r="J189" s="88"/>
      <c r="O189" s="3"/>
    </row>
    <row r="190" spans="1:15" ht="12.75" customHeight="1">
      <c r="A190" t="s">
        <v>177</v>
      </c>
      <c r="B190"/>
      <c r="C190" s="247" t="s">
        <v>182</v>
      </c>
      <c r="D190" s="1273" t="s">
        <v>183</v>
      </c>
      <c r="E190" s="1273"/>
      <c r="F190" s="1274"/>
      <c r="G190" s="246" t="s">
        <v>184</v>
      </c>
      <c r="H190" s="86"/>
      <c r="I190" s="240">
        <v>660.81</v>
      </c>
      <c r="J190" s="88"/>
      <c r="O190" s="3"/>
    </row>
    <row r="191" spans="1:15" ht="12.75" customHeight="1">
      <c r="A191" t="s">
        <v>177</v>
      </c>
      <c r="B191"/>
      <c r="C191" s="247" t="s">
        <v>182</v>
      </c>
      <c r="D191" s="1273" t="s">
        <v>183</v>
      </c>
      <c r="E191" s="1273"/>
      <c r="F191" s="1274"/>
      <c r="G191" s="246" t="s">
        <v>185</v>
      </c>
      <c r="H191" s="86"/>
      <c r="I191" s="240">
        <v>278.62</v>
      </c>
      <c r="J191" s="88"/>
      <c r="O191" s="3"/>
    </row>
    <row r="192" spans="1:15" ht="12.75" customHeight="1">
      <c r="A192" t="s">
        <v>186</v>
      </c>
      <c r="B192"/>
      <c r="C192" s="245" t="s">
        <v>178</v>
      </c>
      <c r="D192" s="1273" t="s">
        <v>179</v>
      </c>
      <c r="E192" s="1273"/>
      <c r="F192" s="1274"/>
      <c r="G192" s="246" t="s">
        <v>180</v>
      </c>
      <c r="H192" s="86"/>
      <c r="I192" s="240">
        <v>635.26</v>
      </c>
      <c r="J192" s="88"/>
      <c r="O192" s="3"/>
    </row>
    <row r="193" spans="1:15" ht="12.75" customHeight="1">
      <c r="A193" t="s">
        <v>187</v>
      </c>
      <c r="B193"/>
      <c r="C193" s="245" t="s">
        <v>178</v>
      </c>
      <c r="D193" s="1273" t="s">
        <v>179</v>
      </c>
      <c r="E193" s="1273"/>
      <c r="F193" s="1274"/>
      <c r="G193" s="246" t="s">
        <v>181</v>
      </c>
      <c r="H193" s="86"/>
      <c r="I193" s="240">
        <v>157.8</v>
      </c>
      <c r="J193" s="88"/>
      <c r="O193" s="3"/>
    </row>
    <row r="194" spans="1:15" ht="12.75" customHeight="1" thickBot="1">
      <c r="A194" t="s">
        <v>186</v>
      </c>
      <c r="B194"/>
      <c r="C194" s="247" t="s">
        <v>182</v>
      </c>
      <c r="D194" s="1273" t="s">
        <v>183</v>
      </c>
      <c r="E194" s="1273"/>
      <c r="F194" s="1274"/>
      <c r="G194" s="246" t="s">
        <v>184</v>
      </c>
      <c r="H194" s="86"/>
      <c r="I194" s="240">
        <v>635.26</v>
      </c>
      <c r="J194" s="88"/>
      <c r="K194" s="107" t="s">
        <v>99</v>
      </c>
      <c r="O194" s="3"/>
    </row>
    <row r="195" spans="1:15" ht="12.75" customHeight="1" thickBot="1">
      <c r="A195" t="s">
        <v>187</v>
      </c>
      <c r="B195"/>
      <c r="C195" s="247" t="s">
        <v>182</v>
      </c>
      <c r="D195" s="1273" t="s">
        <v>183</v>
      </c>
      <c r="E195" s="1273"/>
      <c r="F195" s="1274"/>
      <c r="G195" s="246" t="s">
        <v>185</v>
      </c>
      <c r="H195" s="86"/>
      <c r="I195" s="240">
        <v>267.85</v>
      </c>
      <c r="J195" s="88"/>
      <c r="K195" s="172">
        <f>+'Table 3a'!AR101+'Table 3a'!AQ94</f>
        <v>1568567</v>
      </c>
      <c r="M195" s="183"/>
      <c r="O195" s="3"/>
    </row>
    <row r="196" spans="3:15" ht="12.75" customHeight="1">
      <c r="C196" s="1262" t="s">
        <v>170</v>
      </c>
      <c r="D196" s="1262"/>
      <c r="E196" s="241"/>
      <c r="F196" s="115"/>
      <c r="G196" s="242"/>
      <c r="H196" s="115"/>
      <c r="I196" s="243"/>
      <c r="J196" s="88"/>
      <c r="O196" s="3"/>
    </row>
    <row r="197" spans="1:15" ht="12.75" customHeight="1">
      <c r="A197" t="s">
        <v>177</v>
      </c>
      <c r="B197"/>
      <c r="C197" s="248" t="s">
        <v>188</v>
      </c>
      <c r="D197" s="1273" t="s">
        <v>189</v>
      </c>
      <c r="E197" s="1273"/>
      <c r="F197" s="1274"/>
      <c r="G197" s="246" t="s">
        <v>190</v>
      </c>
      <c r="H197" s="86"/>
      <c r="I197" s="240">
        <v>1010.34</v>
      </c>
      <c r="J197" s="88"/>
      <c r="O197" s="3"/>
    </row>
    <row r="198" spans="1:15" ht="12.75" customHeight="1">
      <c r="A198" t="s">
        <v>177</v>
      </c>
      <c r="B198"/>
      <c r="C198" s="248" t="s">
        <v>188</v>
      </c>
      <c r="D198" s="1273" t="s">
        <v>189</v>
      </c>
      <c r="E198" s="1273"/>
      <c r="F198" s="1274"/>
      <c r="G198" s="246" t="s">
        <v>191</v>
      </c>
      <c r="H198" s="86"/>
      <c r="I198" s="240">
        <v>186.12</v>
      </c>
      <c r="J198" s="88"/>
      <c r="O198" s="3"/>
    </row>
    <row r="199" spans="1:15" ht="12.75" customHeight="1" thickBot="1">
      <c r="A199" t="s">
        <v>186</v>
      </c>
      <c r="B199"/>
      <c r="C199" s="248" t="s">
        <v>188</v>
      </c>
      <c r="D199" s="1273" t="s">
        <v>189</v>
      </c>
      <c r="E199" s="1273"/>
      <c r="F199" s="1274"/>
      <c r="G199" s="246" t="s">
        <v>190</v>
      </c>
      <c r="H199" s="86"/>
      <c r="I199" s="240">
        <v>727.76</v>
      </c>
      <c r="J199" s="88"/>
      <c r="K199" s="204" t="s">
        <v>102</v>
      </c>
      <c r="O199" s="3"/>
    </row>
    <row r="200" spans="1:15" ht="12.75" customHeight="1" thickBot="1">
      <c r="A200" t="s">
        <v>187</v>
      </c>
      <c r="B200"/>
      <c r="C200" s="248" t="s">
        <v>188</v>
      </c>
      <c r="D200" s="1273" t="s">
        <v>189</v>
      </c>
      <c r="E200" s="1273"/>
      <c r="F200" s="1274"/>
      <c r="G200" s="246" t="s">
        <v>191</v>
      </c>
      <c r="H200" s="86"/>
      <c r="I200" s="240">
        <v>134.07</v>
      </c>
      <c r="J200" s="88"/>
      <c r="K200" s="172">
        <f>+'Table 3a'!AQ119+'Table 3a'!AR119</f>
        <v>1479501</v>
      </c>
      <c r="M200" s="183"/>
      <c r="O200" s="3"/>
    </row>
    <row r="201" spans="3:15" ht="12.75" customHeight="1">
      <c r="C201" s="88"/>
      <c r="D201" s="88"/>
      <c r="E201" s="88"/>
      <c r="F201" s="88"/>
      <c r="G201" s="244"/>
      <c r="H201" s="55"/>
      <c r="I201" s="224"/>
      <c r="J201" s="55"/>
      <c r="K201" s="223"/>
      <c r="M201" s="156"/>
      <c r="O201" s="3"/>
    </row>
    <row r="202" spans="2:15" ht="12.75" customHeight="1">
      <c r="B202" s="1264" t="s">
        <v>114</v>
      </c>
      <c r="C202" s="1265"/>
      <c r="D202" s="1265"/>
      <c r="E202" s="1265"/>
      <c r="F202" s="1265"/>
      <c r="G202" s="1265"/>
      <c r="H202" s="1265"/>
      <c r="I202" s="1265"/>
      <c r="J202" s="130"/>
      <c r="K202" s="117"/>
      <c r="M202" s="118"/>
      <c r="O202" s="3"/>
    </row>
    <row r="203" spans="2:15" ht="83.25" customHeight="1">
      <c r="B203" s="1254" t="s">
        <v>192</v>
      </c>
      <c r="C203" s="1254"/>
      <c r="D203" s="1254"/>
      <c r="E203" s="1254"/>
      <c r="F203" s="1254"/>
      <c r="G203" s="1254"/>
      <c r="H203" s="1254"/>
      <c r="I203" s="1254"/>
      <c r="J203" s="132"/>
      <c r="K203" s="117"/>
      <c r="M203" s="118"/>
      <c r="O203" s="3"/>
    </row>
    <row r="204" spans="2:15" ht="61.5" customHeight="1">
      <c r="B204" s="1254" t="s">
        <v>193</v>
      </c>
      <c r="C204" s="1254"/>
      <c r="D204" s="1254"/>
      <c r="E204" s="1254"/>
      <c r="F204" s="1254"/>
      <c r="G204" s="1254"/>
      <c r="H204" s="1254"/>
      <c r="I204" s="1254"/>
      <c r="J204" s="132"/>
      <c r="K204" s="117"/>
      <c r="M204" s="118"/>
      <c r="O204" s="3"/>
    </row>
    <row r="205" spans="2:15" ht="58.5" customHeight="1">
      <c r="B205" s="1374" t="s">
        <v>194</v>
      </c>
      <c r="C205" s="1375"/>
      <c r="D205" s="1375"/>
      <c r="E205" s="1375"/>
      <c r="F205" s="1375"/>
      <c r="G205" s="1375"/>
      <c r="H205" s="1375"/>
      <c r="I205" s="1376"/>
      <c r="J205" s="132"/>
      <c r="K205" s="117"/>
      <c r="M205" s="118"/>
      <c r="O205" s="3"/>
    </row>
    <row r="206" spans="3:15" ht="12.75" customHeight="1">
      <c r="C206" s="249"/>
      <c r="D206" s="249"/>
      <c r="E206" s="249"/>
      <c r="O206" s="3"/>
    </row>
    <row r="207" spans="2:15" ht="34.5" customHeight="1">
      <c r="B207" s="1371" t="s">
        <v>195</v>
      </c>
      <c r="C207" s="1372"/>
      <c r="D207" s="1372"/>
      <c r="E207" s="1372"/>
      <c r="F207" s="1372"/>
      <c r="G207" s="1372"/>
      <c r="H207" s="1372"/>
      <c r="I207" s="1373"/>
      <c r="J207" s="115"/>
      <c r="K207" s="63"/>
      <c r="O207" s="3"/>
    </row>
    <row r="208" spans="2:15" ht="13.5" customHeight="1">
      <c r="B208" s="250"/>
      <c r="C208" s="250"/>
      <c r="D208" s="250"/>
      <c r="E208" s="250"/>
      <c r="F208" s="250"/>
      <c r="G208" s="251"/>
      <c r="H208" s="251"/>
      <c r="I208" s="251"/>
      <c r="J208" s="115"/>
      <c r="K208" s="63"/>
      <c r="O208" s="3"/>
    </row>
    <row r="209" spans="2:15" ht="12.75" customHeight="1">
      <c r="B209" s="252"/>
      <c r="C209" s="1315" t="s">
        <v>85</v>
      </c>
      <c r="D209" s="1315"/>
      <c r="E209" s="212"/>
      <c r="F209" s="115"/>
      <c r="G209" s="214"/>
      <c r="H209" s="86"/>
      <c r="I209" s="209"/>
      <c r="J209" s="88"/>
      <c r="O209" s="3"/>
    </row>
    <row r="210" spans="2:15" ht="12.75" customHeight="1">
      <c r="B210" s="252"/>
      <c r="C210" s="88"/>
      <c r="D210" s="1258"/>
      <c r="E210" s="1258"/>
      <c r="F210" s="1259"/>
      <c r="G210" s="213"/>
      <c r="H210" s="86"/>
      <c r="I210" s="211"/>
      <c r="J210" s="88"/>
      <c r="O210" s="3"/>
    </row>
    <row r="211" spans="2:15" ht="12.75" customHeight="1" thickBot="1">
      <c r="B211" s="252"/>
      <c r="C211" s="88"/>
      <c r="D211" s="1258"/>
      <c r="E211" s="1258"/>
      <c r="F211" s="1259"/>
      <c r="G211" s="213"/>
      <c r="H211" s="86"/>
      <c r="I211" s="211"/>
      <c r="J211" s="88"/>
      <c r="K211" s="204" t="s">
        <v>137</v>
      </c>
      <c r="M211" s="118"/>
      <c r="O211" s="3"/>
    </row>
    <row r="212" spans="2:15" ht="12.75" customHeight="1" thickBot="1">
      <c r="B212" s="252"/>
      <c r="C212" s="139" t="s">
        <v>156</v>
      </c>
      <c r="D212" s="1260"/>
      <c r="E212" s="1260"/>
      <c r="F212" s="1259"/>
      <c r="G212" s="213"/>
      <c r="H212" s="86"/>
      <c r="I212" s="211"/>
      <c r="J212" s="88"/>
      <c r="K212" s="172"/>
      <c r="M212" s="95"/>
      <c r="O212" s="3"/>
    </row>
    <row r="213" spans="2:15" ht="12.75" customHeight="1">
      <c r="B213" s="252"/>
      <c r="C213" s="252"/>
      <c r="D213" s="252"/>
      <c r="E213" s="252"/>
      <c r="F213" s="252"/>
      <c r="G213" s="253"/>
      <c r="H213" s="252"/>
      <c r="I213" s="252"/>
      <c r="J213" s="115"/>
      <c r="K213" s="63"/>
      <c r="O213" s="3"/>
    </row>
    <row r="214" spans="3:15" ht="12.75" customHeight="1">
      <c r="C214" s="1261" t="s">
        <v>164</v>
      </c>
      <c r="D214" s="1261"/>
      <c r="E214" s="212"/>
      <c r="F214" s="115"/>
      <c r="G214" s="213"/>
      <c r="H214" s="86"/>
      <c r="I214" s="209"/>
      <c r="J214" s="88"/>
      <c r="O214" s="3"/>
    </row>
    <row r="215" spans="3:15" ht="12.75" customHeight="1">
      <c r="C215" s="88"/>
      <c r="D215" s="1258"/>
      <c r="E215" s="1258"/>
      <c r="F215" s="1259"/>
      <c r="G215" s="213"/>
      <c r="H215" s="86"/>
      <c r="I215" s="211"/>
      <c r="J215" s="88"/>
      <c r="O215" s="3"/>
    </row>
    <row r="216" spans="3:15" ht="12.75" customHeight="1" thickBot="1">
      <c r="C216" s="88"/>
      <c r="D216" s="1258"/>
      <c r="E216" s="1258"/>
      <c r="F216" s="1259"/>
      <c r="G216" s="213"/>
      <c r="H216" s="86"/>
      <c r="I216" s="211"/>
      <c r="J216" s="88"/>
      <c r="K216" s="107" t="s">
        <v>99</v>
      </c>
      <c r="M216" s="118"/>
      <c r="O216" s="3"/>
    </row>
    <row r="217" spans="3:15" ht="14.25" customHeight="1" thickBot="1">
      <c r="C217" s="210" t="s">
        <v>156</v>
      </c>
      <c r="D217" s="1258"/>
      <c r="E217" s="1258"/>
      <c r="F217" s="1259"/>
      <c r="G217" s="213"/>
      <c r="H217" s="86"/>
      <c r="I217" s="211"/>
      <c r="J217" s="88"/>
      <c r="K217" s="172"/>
      <c r="M217" s="95"/>
      <c r="O217" s="3"/>
    </row>
    <row r="218" spans="3:15" ht="14.25" customHeight="1">
      <c r="C218" s="210"/>
      <c r="D218" s="88"/>
      <c r="E218" s="88"/>
      <c r="F218" s="115"/>
      <c r="G218" s="254"/>
      <c r="H218" s="216"/>
      <c r="I218" s="225"/>
      <c r="J218" s="88"/>
      <c r="K218" s="221"/>
      <c r="M218" s="118"/>
      <c r="O218" s="3"/>
    </row>
    <row r="219" spans="3:15" ht="12.75" customHeight="1">
      <c r="C219" s="1262" t="s">
        <v>109</v>
      </c>
      <c r="D219" s="1262"/>
      <c r="E219" s="241"/>
      <c r="F219" s="205"/>
      <c r="G219" s="255"/>
      <c r="H219" s="115"/>
      <c r="I219" s="243"/>
      <c r="J219" s="88"/>
      <c r="M219" s="118"/>
      <c r="O219" s="3"/>
    </row>
    <row r="220" spans="3:15" ht="12.75" customHeight="1">
      <c r="C220" s="210" t="s">
        <v>156</v>
      </c>
      <c r="D220" s="1258"/>
      <c r="E220" s="1258"/>
      <c r="F220" s="1259"/>
      <c r="G220" s="213"/>
      <c r="H220" s="86"/>
      <c r="I220" s="211"/>
      <c r="J220" s="88"/>
      <c r="M220" s="118"/>
      <c r="O220" s="3"/>
    </row>
    <row r="221" spans="3:15" ht="12.75" customHeight="1">
      <c r="C221" s="210"/>
      <c r="D221" s="88"/>
      <c r="E221" s="88"/>
      <c r="F221" s="86"/>
      <c r="G221" s="213"/>
      <c r="H221" s="86"/>
      <c r="I221" s="211"/>
      <c r="J221" s="88"/>
      <c r="M221" s="118"/>
      <c r="O221" s="3"/>
    </row>
    <row r="222" spans="3:15" ht="12.75" customHeight="1" thickBot="1">
      <c r="C222" s="88"/>
      <c r="D222" s="1258"/>
      <c r="E222" s="1258"/>
      <c r="F222" s="1259"/>
      <c r="G222" s="213"/>
      <c r="H222" s="86"/>
      <c r="I222" s="211"/>
      <c r="J222" s="88"/>
      <c r="K222" s="204" t="s">
        <v>102</v>
      </c>
      <c r="M222" s="118"/>
      <c r="O222" s="3"/>
    </row>
    <row r="223" spans="3:15" ht="12.75" customHeight="1" thickBot="1">
      <c r="C223" s="88"/>
      <c r="D223" s="1258"/>
      <c r="E223" s="1258"/>
      <c r="F223" s="1259"/>
      <c r="G223" s="213"/>
      <c r="H223" s="86"/>
      <c r="I223" s="211"/>
      <c r="J223" s="88"/>
      <c r="K223" s="172"/>
      <c r="M223" s="95"/>
      <c r="O223" s="3"/>
    </row>
    <row r="224" spans="3:15" ht="12.75" customHeight="1">
      <c r="C224" s="88"/>
      <c r="D224" s="88"/>
      <c r="E224" s="88"/>
      <c r="F224" s="88"/>
      <c r="J224" s="88"/>
      <c r="K224" s="117"/>
      <c r="L224" s="256"/>
      <c r="M224" s="257"/>
      <c r="N224" s="256"/>
      <c r="O224" s="3"/>
    </row>
    <row r="225" spans="2:15" ht="12.75" customHeight="1">
      <c r="B225" s="1264" t="s">
        <v>114</v>
      </c>
      <c r="C225" s="1265"/>
      <c r="D225" s="1265"/>
      <c r="E225" s="1265"/>
      <c r="F225" s="1265"/>
      <c r="G225" s="1265"/>
      <c r="H225" s="1265"/>
      <c r="I225" s="1265"/>
      <c r="J225" s="130"/>
      <c r="K225" s="117"/>
      <c r="M225" s="118"/>
      <c r="O225" s="3"/>
    </row>
    <row r="226" spans="2:15" ht="12.75" customHeight="1">
      <c r="B226" s="193"/>
      <c r="C226" s="194"/>
      <c r="D226" s="194"/>
      <c r="E226" s="194"/>
      <c r="F226" s="194"/>
      <c r="G226" s="194"/>
      <c r="H226" s="194"/>
      <c r="I226" s="195"/>
      <c r="J226" s="132"/>
      <c r="K226" s="117"/>
      <c r="M226" s="118"/>
      <c r="O226" s="3"/>
    </row>
    <row r="227" spans="2:15" ht="12.75" customHeight="1">
      <c r="B227" s="258"/>
      <c r="C227" s="259"/>
      <c r="D227" s="259"/>
      <c r="E227" s="259"/>
      <c r="F227" s="259"/>
      <c r="G227" s="259"/>
      <c r="H227" s="259"/>
      <c r="I227" s="260"/>
      <c r="J227" s="132"/>
      <c r="K227" s="117"/>
      <c r="M227" s="118"/>
      <c r="O227" s="3"/>
    </row>
    <row r="228" spans="2:15" ht="12.75" customHeight="1">
      <c r="B228" s="258"/>
      <c r="C228" s="259"/>
      <c r="D228" s="259"/>
      <c r="E228" s="259"/>
      <c r="F228" s="259"/>
      <c r="G228" s="259"/>
      <c r="H228" s="259"/>
      <c r="I228" s="260"/>
      <c r="J228" s="132"/>
      <c r="K228" s="117"/>
      <c r="M228" s="118"/>
      <c r="O228" s="3"/>
    </row>
    <row r="229" spans="2:15" ht="12.75" customHeight="1">
      <c r="B229" s="258"/>
      <c r="C229" s="259"/>
      <c r="D229" s="259"/>
      <c r="E229" s="259"/>
      <c r="F229" s="259"/>
      <c r="G229" s="259"/>
      <c r="H229" s="259"/>
      <c r="I229" s="260"/>
      <c r="J229" s="132"/>
      <c r="K229" s="117"/>
      <c r="M229" s="118"/>
      <c r="O229" s="3"/>
    </row>
    <row r="230" spans="2:15" ht="12.75" customHeight="1">
      <c r="B230" s="196"/>
      <c r="C230" s="197"/>
      <c r="D230" s="197"/>
      <c r="E230" s="197"/>
      <c r="F230" s="197"/>
      <c r="G230" s="197"/>
      <c r="H230" s="197"/>
      <c r="I230" s="198"/>
      <c r="J230" s="132"/>
      <c r="K230" s="117"/>
      <c r="M230" s="118"/>
      <c r="O230" s="3"/>
    </row>
    <row r="231" spans="3:15" ht="12.75" customHeight="1">
      <c r="C231" s="249"/>
      <c r="D231" s="249"/>
      <c r="E231" s="249"/>
      <c r="O231" s="3"/>
    </row>
    <row r="232" spans="2:15" ht="12.75" customHeight="1">
      <c r="B232" s="1377" t="s">
        <v>196</v>
      </c>
      <c r="C232" s="1378"/>
      <c r="D232" s="1378"/>
      <c r="E232" s="1378"/>
      <c r="F232" s="1378"/>
      <c r="G232" s="1378"/>
      <c r="H232" s="1378"/>
      <c r="I232" s="1379"/>
      <c r="J232" s="115"/>
      <c r="K232" s="63"/>
      <c r="O232" s="3"/>
    </row>
    <row r="233" spans="2:15" ht="12.75" customHeight="1">
      <c r="B233" s="123"/>
      <c r="C233" s="123"/>
      <c r="D233" s="123"/>
      <c r="E233" s="123"/>
      <c r="F233" s="123"/>
      <c r="G233" s="123"/>
      <c r="H233" s="123"/>
      <c r="I233" s="123"/>
      <c r="J233" s="115"/>
      <c r="K233" s="261"/>
      <c r="O233" s="3"/>
    </row>
    <row r="234" spans="2:15" ht="12.75" customHeight="1">
      <c r="B234" s="123"/>
      <c r="C234" s="1315" t="s">
        <v>85</v>
      </c>
      <c r="D234" s="1315"/>
      <c r="E234" s="241"/>
      <c r="F234" s="205"/>
      <c r="G234" s="255"/>
      <c r="H234" s="115"/>
      <c r="I234" s="243"/>
      <c r="J234" s="88"/>
      <c r="O234" s="3"/>
    </row>
    <row r="235" spans="2:15" ht="12.75" customHeight="1">
      <c r="B235" s="123"/>
      <c r="C235" s="241"/>
      <c r="D235" s="1258"/>
      <c r="E235" s="1258"/>
      <c r="F235" s="1259"/>
      <c r="G235" s="213"/>
      <c r="H235" s="115"/>
      <c r="I235" s="209"/>
      <c r="J235" s="88"/>
      <c r="K235" s="155"/>
      <c r="O235" s="3"/>
    </row>
    <row r="236" spans="2:15" ht="12.75" customHeight="1">
      <c r="B236" s="123"/>
      <c r="C236" s="241"/>
      <c r="D236" s="88"/>
      <c r="E236" s="88"/>
      <c r="F236" s="86"/>
      <c r="G236" s="213"/>
      <c r="H236" s="115"/>
      <c r="I236" s="262"/>
      <c r="J236" s="88"/>
      <c r="K236" s="263"/>
      <c r="O236" s="3"/>
    </row>
    <row r="237" spans="2:15" ht="12.75" customHeight="1" thickBot="1">
      <c r="B237" s="123"/>
      <c r="C237" s="241"/>
      <c r="D237" s="88"/>
      <c r="E237" s="88"/>
      <c r="F237" s="86"/>
      <c r="G237" s="213"/>
      <c r="H237" s="115"/>
      <c r="I237" s="262"/>
      <c r="J237" s="88"/>
      <c r="K237" s="264" t="s">
        <v>137</v>
      </c>
      <c r="O237" s="3"/>
    </row>
    <row r="238" spans="2:15" ht="12.75" customHeight="1" thickBot="1">
      <c r="B238" s="123"/>
      <c r="C238" s="139" t="s">
        <v>156</v>
      </c>
      <c r="D238" s="1260"/>
      <c r="E238" s="1260"/>
      <c r="F238" s="1259"/>
      <c r="G238" s="213"/>
      <c r="H238" s="115"/>
      <c r="I238" s="262"/>
      <c r="J238" s="88"/>
      <c r="K238" s="172"/>
      <c r="M238" s="95"/>
      <c r="O238" s="3"/>
    </row>
    <row r="239" spans="3:15" ht="12.75" customHeight="1">
      <c r="C239" s="1261" t="s">
        <v>164</v>
      </c>
      <c r="D239" s="1261"/>
      <c r="E239" s="212"/>
      <c r="F239" s="115"/>
      <c r="G239" s="255"/>
      <c r="H239" s="115"/>
      <c r="I239" s="243"/>
      <c r="J239" s="88"/>
      <c r="O239" s="3"/>
    </row>
    <row r="240" spans="3:15" ht="12.75" customHeight="1">
      <c r="C240" s="88"/>
      <c r="D240" s="1258"/>
      <c r="E240" s="1258"/>
      <c r="F240" s="1259"/>
      <c r="G240" s="213"/>
      <c r="H240" s="86"/>
      <c r="I240" s="211"/>
      <c r="J240" s="88"/>
      <c r="K240" s="155"/>
      <c r="O240" s="3"/>
    </row>
    <row r="241" spans="3:15" ht="12.75" customHeight="1">
      <c r="C241" s="88"/>
      <c r="D241" s="88"/>
      <c r="E241" s="88"/>
      <c r="F241" s="86"/>
      <c r="G241" s="213"/>
      <c r="H241" s="86"/>
      <c r="I241" s="211"/>
      <c r="J241" s="88"/>
      <c r="K241" s="263"/>
      <c r="O241" s="3"/>
    </row>
    <row r="242" spans="3:15" ht="12.75" customHeight="1" thickBot="1">
      <c r="C242" s="88"/>
      <c r="D242" s="88"/>
      <c r="E242" s="88"/>
      <c r="F242" s="86"/>
      <c r="G242" s="213"/>
      <c r="H242" s="86"/>
      <c r="I242" s="211"/>
      <c r="J242" s="88"/>
      <c r="K242" s="107" t="s">
        <v>99</v>
      </c>
      <c r="O242" s="3"/>
    </row>
    <row r="243" spans="3:15" ht="12.75" customHeight="1" thickBot="1">
      <c r="C243" s="88"/>
      <c r="D243" s="1258"/>
      <c r="E243" s="1258"/>
      <c r="F243" s="1259"/>
      <c r="G243" s="213"/>
      <c r="H243" s="86"/>
      <c r="I243" s="211"/>
      <c r="J243" s="88"/>
      <c r="K243" s="172">
        <f>+'Table 3a'!AT94</f>
        <v>315641</v>
      </c>
      <c r="M243" s="95"/>
      <c r="O243" s="3"/>
    </row>
    <row r="244" spans="3:15" ht="12.75" customHeight="1">
      <c r="C244" s="1262" t="s">
        <v>109</v>
      </c>
      <c r="D244" s="1262"/>
      <c r="E244" s="241"/>
      <c r="F244" s="205"/>
      <c r="G244" s="255"/>
      <c r="H244" s="115"/>
      <c r="I244" s="243"/>
      <c r="J244" s="88"/>
      <c r="O244" s="3"/>
    </row>
    <row r="245" spans="3:15" ht="12.75" customHeight="1">
      <c r="C245" s="241"/>
      <c r="D245" s="1258"/>
      <c r="E245" s="1258"/>
      <c r="F245" s="1259"/>
      <c r="G245" s="213"/>
      <c r="H245" s="115"/>
      <c r="I245" s="209"/>
      <c r="J245" s="88"/>
      <c r="K245" s="155"/>
      <c r="O245" s="3"/>
    </row>
    <row r="246" spans="3:15" ht="12.75" customHeight="1">
      <c r="C246" s="241"/>
      <c r="D246" s="88"/>
      <c r="E246" s="88"/>
      <c r="F246" s="86"/>
      <c r="G246" s="213"/>
      <c r="H246" s="115"/>
      <c r="I246" s="209"/>
      <c r="J246" s="88"/>
      <c r="K246" s="155"/>
      <c r="O246" s="3"/>
    </row>
    <row r="247" spans="3:15" ht="12.75" customHeight="1" thickBot="1">
      <c r="C247" s="241"/>
      <c r="D247" s="88"/>
      <c r="E247" s="88"/>
      <c r="F247" s="86"/>
      <c r="G247" s="213"/>
      <c r="H247" s="115"/>
      <c r="I247" s="209"/>
      <c r="J247" s="88"/>
      <c r="K247" s="204" t="s">
        <v>102</v>
      </c>
      <c r="O247" s="3"/>
    </row>
    <row r="248" spans="3:15" ht="12.75" customHeight="1" thickBot="1">
      <c r="C248" s="210" t="s">
        <v>156</v>
      </c>
      <c r="D248" s="1258"/>
      <c r="E248" s="1258"/>
      <c r="F248" s="1259"/>
      <c r="G248" s="213"/>
      <c r="H248" s="115"/>
      <c r="I248" s="209"/>
      <c r="J248" s="88"/>
      <c r="K248" s="172">
        <f>+'Table 3a'!AT119</f>
        <v>1021343</v>
      </c>
      <c r="M248" s="95"/>
      <c r="O248" s="3"/>
    </row>
    <row r="249" spans="3:15" ht="12.75" customHeight="1">
      <c r="C249" s="215"/>
      <c r="D249" s="215"/>
      <c r="E249" s="215"/>
      <c r="F249" s="205"/>
      <c r="J249" s="88"/>
      <c r="K249" s="117"/>
      <c r="O249" s="3"/>
    </row>
    <row r="250" spans="2:15" ht="12.75" customHeight="1">
      <c r="B250" s="1264" t="s">
        <v>114</v>
      </c>
      <c r="C250" s="1265"/>
      <c r="D250" s="1265"/>
      <c r="E250" s="1265"/>
      <c r="F250" s="1265"/>
      <c r="G250" s="1265"/>
      <c r="H250" s="1265"/>
      <c r="I250" s="1265"/>
      <c r="J250" s="130"/>
      <c r="K250" s="117"/>
      <c r="M250" s="118"/>
      <c r="O250" s="3"/>
    </row>
    <row r="251" spans="2:15" ht="28.5" customHeight="1">
      <c r="B251" s="1254" t="s">
        <v>197</v>
      </c>
      <c r="C251" s="1254"/>
      <c r="D251" s="1254"/>
      <c r="E251" s="1254"/>
      <c r="F251" s="1254"/>
      <c r="G251" s="1254"/>
      <c r="H251" s="1254"/>
      <c r="I251" s="1254"/>
      <c r="J251" s="132"/>
      <c r="K251" s="117"/>
      <c r="M251" s="118"/>
      <c r="O251" s="3"/>
    </row>
    <row r="252" spans="2:15" ht="12.75" customHeight="1">
      <c r="B252" s="196"/>
      <c r="C252" s="197"/>
      <c r="D252" s="197"/>
      <c r="E252" s="197"/>
      <c r="F252" s="197"/>
      <c r="G252" s="197"/>
      <c r="H252" s="197"/>
      <c r="I252" s="198"/>
      <c r="J252" s="132"/>
      <c r="K252" s="117"/>
      <c r="M252" s="118"/>
      <c r="O252" s="3"/>
    </row>
    <row r="253" spans="2:15" ht="12.75" customHeight="1">
      <c r="B253" s="60"/>
      <c r="C253" s="60"/>
      <c r="D253" s="60"/>
      <c r="E253" s="60"/>
      <c r="F253" s="60"/>
      <c r="G253" s="61"/>
      <c r="H253" s="60"/>
      <c r="I253" s="62"/>
      <c r="J253" s="60"/>
      <c r="K253" s="117"/>
      <c r="M253" s="118"/>
      <c r="O253" s="3"/>
    </row>
    <row r="254" spans="2:15" ht="12.75" customHeight="1">
      <c r="B254" s="1277" t="s">
        <v>198</v>
      </c>
      <c r="C254" s="1278"/>
      <c r="D254" s="1278"/>
      <c r="E254" s="1278"/>
      <c r="F254" s="1278"/>
      <c r="G254" s="1278"/>
      <c r="H254" s="1278"/>
      <c r="I254" s="1279"/>
      <c r="J254" s="115"/>
      <c r="K254" s="63"/>
      <c r="O254" s="3"/>
    </row>
    <row r="255" spans="2:15" ht="12.75" customHeight="1">
      <c r="B255" s="123"/>
      <c r="C255" s="123"/>
      <c r="D255" s="123"/>
      <c r="E255" s="123"/>
      <c r="F255" s="123"/>
      <c r="G255" s="123"/>
      <c r="H255" s="123"/>
      <c r="I255" s="123"/>
      <c r="J255" s="115"/>
      <c r="K255" s="63"/>
      <c r="O255" s="3"/>
    </row>
    <row r="256" spans="2:13" s="154" customFormat="1" ht="12.75" customHeight="1">
      <c r="B256" s="52"/>
      <c r="C256" s="205"/>
      <c r="D256" s="205"/>
      <c r="E256" s="205"/>
      <c r="F256" s="205"/>
      <c r="G256" s="206"/>
      <c r="H256" s="205"/>
      <c r="I256" s="228"/>
      <c r="J256" s="205"/>
      <c r="K256" s="265"/>
      <c r="L256" s="3"/>
      <c r="M256" s="95"/>
    </row>
    <row r="257" spans="2:13" s="154" customFormat="1" ht="12.75" customHeight="1" thickBot="1">
      <c r="B257" s="52"/>
      <c r="C257" s="205"/>
      <c r="D257" s="205"/>
      <c r="E257" s="205"/>
      <c r="F257" s="205"/>
      <c r="G257" s="206"/>
      <c r="H257" s="205"/>
      <c r="I257" s="207"/>
      <c r="J257" s="205"/>
      <c r="K257" s="204" t="s">
        <v>137</v>
      </c>
      <c r="L257" s="3"/>
      <c r="M257" s="118"/>
    </row>
    <row r="258" spans="2:13" s="154" customFormat="1" ht="12.75" customHeight="1">
      <c r="B258" s="52"/>
      <c r="C258" s="205"/>
      <c r="D258" s="205"/>
      <c r="E258" s="205"/>
      <c r="F258" s="205"/>
      <c r="G258" s="206"/>
      <c r="H258" s="205"/>
      <c r="I258" s="207"/>
      <c r="J258" s="205"/>
      <c r="K258" s="178"/>
      <c r="L258" s="3"/>
      <c r="M258" s="118"/>
    </row>
    <row r="259" spans="2:13" s="154" customFormat="1" ht="27.75" customHeight="1">
      <c r="B259" s="52"/>
      <c r="C259" s="1321" t="s">
        <v>199</v>
      </c>
      <c r="D259" s="1321"/>
      <c r="E259" s="1321"/>
      <c r="F259" s="1321"/>
      <c r="G259" s="266"/>
      <c r="H259" s="205"/>
      <c r="I259" s="267" t="s">
        <v>200</v>
      </c>
      <c r="J259" s="205"/>
      <c r="K259" s="182">
        <f>+'Table 3a'!AV94</f>
        <v>270661</v>
      </c>
      <c r="L259" s="3"/>
      <c r="M259" s="118"/>
    </row>
    <row r="260" spans="2:13" s="154" customFormat="1" ht="12.75" customHeight="1">
      <c r="B260" s="52"/>
      <c r="C260" s="1321" t="s">
        <v>201</v>
      </c>
      <c r="D260" s="1321"/>
      <c r="E260" s="1321"/>
      <c r="F260" s="1321"/>
      <c r="G260" s="213" t="s">
        <v>202</v>
      </c>
      <c r="H260" s="205"/>
      <c r="I260" s="239">
        <f>+'Table 3a'!AW15</f>
        <v>3265</v>
      </c>
      <c r="J260" s="205"/>
      <c r="K260" s="182">
        <f>+'Table 3a'!AW94</f>
        <v>205150.83333333334</v>
      </c>
      <c r="L260" s="3"/>
      <c r="M260" s="95"/>
    </row>
    <row r="261" spans="2:13" s="154" customFormat="1" ht="12.75" customHeight="1" thickBot="1">
      <c r="B261" s="52"/>
      <c r="C261" s="205"/>
      <c r="D261" s="205"/>
      <c r="E261" s="205"/>
      <c r="F261" s="205"/>
      <c r="G261" s="206"/>
      <c r="H261" s="205"/>
      <c r="I261" s="207"/>
      <c r="J261" s="205"/>
      <c r="K261" s="111" t="s">
        <v>99</v>
      </c>
      <c r="L261" s="3"/>
      <c r="M261" s="118"/>
    </row>
    <row r="262" spans="2:13" s="154" customFormat="1" ht="12.75" customHeight="1" thickBot="1">
      <c r="B262" s="52"/>
      <c r="C262" s="205"/>
      <c r="D262" s="205"/>
      <c r="E262" s="205"/>
      <c r="F262" s="205"/>
      <c r="G262" s="206"/>
      <c r="H262" s="205"/>
      <c r="I262" s="207"/>
      <c r="J262" s="205"/>
      <c r="K262" s="172">
        <f>+K259+K260</f>
        <v>475811.8333333334</v>
      </c>
      <c r="L262" s="3"/>
      <c r="M262" s="118"/>
    </row>
    <row r="263" spans="2:13" s="154" customFormat="1" ht="12.75" customHeight="1">
      <c r="B263" s="52"/>
      <c r="C263" s="205"/>
      <c r="D263" s="205"/>
      <c r="E263" s="205"/>
      <c r="F263" s="205"/>
      <c r="G263" s="206"/>
      <c r="H263" s="205"/>
      <c r="I263" s="207"/>
      <c r="J263" s="205"/>
      <c r="K263" s="268"/>
      <c r="L263" s="3"/>
      <c r="M263" s="118"/>
    </row>
    <row r="264" spans="2:13" s="154" customFormat="1" ht="31.5" customHeight="1">
      <c r="B264" s="52"/>
      <c r="C264" s="1321" t="s">
        <v>199</v>
      </c>
      <c r="D264" s="1321"/>
      <c r="E264" s="1321"/>
      <c r="F264" s="1321"/>
      <c r="G264" s="266"/>
      <c r="H264" s="205"/>
      <c r="I264" s="267" t="s">
        <v>200</v>
      </c>
      <c r="J264" s="205"/>
      <c r="K264" s="182">
        <f>+'Table 3a'!AV119</f>
        <v>56124</v>
      </c>
      <c r="L264" s="3"/>
      <c r="M264" s="118"/>
    </row>
    <row r="265" spans="2:13" s="154" customFormat="1" ht="12.75" customHeight="1">
      <c r="B265" s="52"/>
      <c r="C265" s="1321" t="s">
        <v>201</v>
      </c>
      <c r="D265" s="1321"/>
      <c r="E265" s="1321"/>
      <c r="F265" s="1321"/>
      <c r="G265" s="213" t="s">
        <v>202</v>
      </c>
      <c r="H265" s="205"/>
      <c r="I265" s="239">
        <f>+'Table 3a'!AW16</f>
        <v>9112</v>
      </c>
      <c r="J265" s="205"/>
      <c r="K265" s="182">
        <f>+'Table 3a'!AW119</f>
        <v>109344</v>
      </c>
      <c r="L265" s="3"/>
      <c r="M265" s="95"/>
    </row>
    <row r="266" spans="2:13" s="154" customFormat="1" ht="12.75" customHeight="1" thickBot="1">
      <c r="B266" s="1271"/>
      <c r="C266" s="1271"/>
      <c r="D266" s="1271"/>
      <c r="E266" s="1271"/>
      <c r="F266" s="1271"/>
      <c r="G266" s="1271"/>
      <c r="H266" s="1271"/>
      <c r="I266" s="1271"/>
      <c r="J266" s="231"/>
      <c r="K266" s="107" t="s">
        <v>102</v>
      </c>
      <c r="L266" s="168"/>
      <c r="M266" s="232"/>
    </row>
    <row r="267" spans="2:13" s="154" customFormat="1" ht="12.75" customHeight="1" thickBot="1" thickTop="1">
      <c r="B267" s="233"/>
      <c r="C267" s="233"/>
      <c r="D267" s="233"/>
      <c r="E267" s="233"/>
      <c r="F267" s="233"/>
      <c r="G267" s="233"/>
      <c r="H267" s="233"/>
      <c r="I267" s="233"/>
      <c r="J267" s="234"/>
      <c r="K267" s="269">
        <f>+K264+K265</f>
        <v>165468</v>
      </c>
      <c r="L267" s="235"/>
      <c r="M267" s="236"/>
    </row>
    <row r="268" spans="3:13" s="154" customFormat="1" ht="12.75" customHeight="1" thickTop="1">
      <c r="C268" s="270"/>
      <c r="D268" s="1322"/>
      <c r="E268" s="1322"/>
      <c r="F268" s="1322"/>
      <c r="G268" s="254"/>
      <c r="H268" s="216"/>
      <c r="I268" s="225"/>
      <c r="J268" s="216"/>
      <c r="K268" s="155"/>
      <c r="M268" s="271"/>
    </row>
    <row r="269" spans="2:15" ht="12.75" customHeight="1">
      <c r="B269" s="1264" t="s">
        <v>114</v>
      </c>
      <c r="C269" s="1265"/>
      <c r="D269" s="1265"/>
      <c r="E269" s="1265"/>
      <c r="F269" s="1265"/>
      <c r="G269" s="1265"/>
      <c r="H269" s="1265"/>
      <c r="I269" s="1265"/>
      <c r="J269" s="130"/>
      <c r="K269" s="117"/>
      <c r="M269" s="118"/>
      <c r="O269" s="3"/>
    </row>
    <row r="270" spans="2:15" ht="69" customHeight="1">
      <c r="B270" s="1272" t="s">
        <v>203</v>
      </c>
      <c r="C270" s="1272"/>
      <c r="D270" s="1272"/>
      <c r="E270" s="1272"/>
      <c r="F270" s="1272"/>
      <c r="G270" s="1272"/>
      <c r="H270" s="1272"/>
      <c r="I270" s="1272"/>
      <c r="J270" s="132"/>
      <c r="K270" s="117"/>
      <c r="M270" s="118"/>
      <c r="O270" s="3"/>
    </row>
    <row r="271" spans="2:15" ht="59.25" customHeight="1">
      <c r="B271" s="1276" t="s">
        <v>204</v>
      </c>
      <c r="C271" s="1276"/>
      <c r="D271" s="1276"/>
      <c r="E271" s="1276"/>
      <c r="F271" s="1276"/>
      <c r="G271" s="1276"/>
      <c r="H271" s="1276"/>
      <c r="I271" s="1276"/>
      <c r="J271" s="132"/>
      <c r="K271" s="117"/>
      <c r="M271" s="118"/>
      <c r="O271" s="3"/>
    </row>
    <row r="272" spans="2:15" ht="46.5" customHeight="1">
      <c r="B272" s="1276" t="s">
        <v>205</v>
      </c>
      <c r="C272" s="1276"/>
      <c r="D272" s="1276"/>
      <c r="E272" s="1276"/>
      <c r="F272" s="1276"/>
      <c r="G272" s="1276"/>
      <c r="H272" s="1276"/>
      <c r="I272" s="1276"/>
      <c r="J272" s="132"/>
      <c r="K272" s="117"/>
      <c r="M272" s="118"/>
      <c r="O272" s="3"/>
    </row>
    <row r="273" spans="2:15" ht="35.25" customHeight="1">
      <c r="B273" s="1272" t="s">
        <v>206</v>
      </c>
      <c r="C273" s="1272"/>
      <c r="D273" s="1272"/>
      <c r="E273" s="1272"/>
      <c r="F273" s="1272"/>
      <c r="G273" s="1272"/>
      <c r="H273" s="1272"/>
      <c r="I273" s="1272"/>
      <c r="J273" s="132"/>
      <c r="K273" s="117"/>
      <c r="M273" s="118"/>
      <c r="O273" s="3"/>
    </row>
    <row r="274" spans="2:15" ht="12.75" customHeight="1">
      <c r="B274" s="196"/>
      <c r="C274" s="197"/>
      <c r="D274" s="197"/>
      <c r="E274" s="197"/>
      <c r="F274" s="197"/>
      <c r="G274" s="197"/>
      <c r="H274" s="197"/>
      <c r="I274" s="198"/>
      <c r="J274" s="132"/>
      <c r="K274" s="117"/>
      <c r="M274" s="118"/>
      <c r="O274" s="3"/>
    </row>
    <row r="275" spans="3:15" ht="12.75" customHeight="1">
      <c r="C275" s="5"/>
      <c r="D275" s="5"/>
      <c r="E275" s="5"/>
      <c r="O275" s="3"/>
    </row>
    <row r="276" spans="2:15" ht="12.75" customHeight="1">
      <c r="B276" s="1277" t="s">
        <v>207</v>
      </c>
      <c r="C276" s="1278"/>
      <c r="D276" s="1278"/>
      <c r="E276" s="1278"/>
      <c r="F276" s="1278"/>
      <c r="G276" s="1278"/>
      <c r="H276" s="1278"/>
      <c r="I276" s="1279"/>
      <c r="J276" s="115"/>
      <c r="K276" s="63"/>
      <c r="O276" s="3"/>
    </row>
    <row r="277" spans="2:13" s="154" customFormat="1" ht="12.75" customHeight="1">
      <c r="B277" s="226"/>
      <c r="C277" s="227"/>
      <c r="D277" s="227"/>
      <c r="E277" s="227"/>
      <c r="F277" s="227"/>
      <c r="G277" s="227"/>
      <c r="H277" s="227"/>
      <c r="I277" s="227"/>
      <c r="J277" s="205"/>
      <c r="K277" s="117"/>
      <c r="L277" s="3"/>
      <c r="M277" s="118"/>
    </row>
    <row r="278" spans="2:13" s="154" customFormat="1" ht="12.75" customHeight="1">
      <c r="B278" s="52"/>
      <c r="C278" s="205"/>
      <c r="D278" s="205"/>
      <c r="E278" s="205"/>
      <c r="F278" s="205"/>
      <c r="G278" s="206"/>
      <c r="H278" s="205"/>
      <c r="I278" s="228"/>
      <c r="J278" s="205"/>
      <c r="K278" s="265"/>
      <c r="L278" s="3"/>
      <c r="M278" s="95"/>
    </row>
    <row r="279" spans="2:13" s="154" customFormat="1" ht="12.75" customHeight="1" thickBot="1">
      <c r="B279" s="52"/>
      <c r="C279" s="205"/>
      <c r="D279" s="205"/>
      <c r="E279" s="205"/>
      <c r="F279" s="205"/>
      <c r="G279" s="206"/>
      <c r="H279" s="205"/>
      <c r="I279" s="207"/>
      <c r="J279" s="205"/>
      <c r="K279" s="204" t="s">
        <v>137</v>
      </c>
      <c r="L279" s="3"/>
      <c r="M279" s="272"/>
    </row>
    <row r="280" spans="2:13" s="154" customFormat="1" ht="12.75" customHeight="1" thickBot="1">
      <c r="B280" s="52"/>
      <c r="C280" s="205"/>
      <c r="D280" s="205"/>
      <c r="E280" s="205"/>
      <c r="F280" s="205"/>
      <c r="G280" s="206"/>
      <c r="H280" s="205"/>
      <c r="I280" s="207"/>
      <c r="J280" s="205"/>
      <c r="K280" s="230"/>
      <c r="L280" s="3"/>
      <c r="M280" s="118"/>
    </row>
    <row r="281" spans="1:13" s="154" customFormat="1" ht="12.75" customHeight="1">
      <c r="A281" t="s">
        <v>208</v>
      </c>
      <c r="B281"/>
      <c r="C281" s="245" t="s">
        <v>178</v>
      </c>
      <c r="D281" s="1273" t="s">
        <v>179</v>
      </c>
      <c r="E281" s="1273"/>
      <c r="F281" s="1274"/>
      <c r="G281" s="246" t="s">
        <v>180</v>
      </c>
      <c r="H281" s="205"/>
      <c r="I281" s="239">
        <v>456.18</v>
      </c>
      <c r="J281" s="205"/>
      <c r="K281" s="229"/>
      <c r="L281" s="3"/>
      <c r="M281" s="118"/>
    </row>
    <row r="282" spans="1:13" s="154" customFormat="1" ht="12.75" customHeight="1">
      <c r="A282" t="s">
        <v>208</v>
      </c>
      <c r="B282"/>
      <c r="C282" s="245" t="s">
        <v>178</v>
      </c>
      <c r="D282" s="1273" t="s">
        <v>179</v>
      </c>
      <c r="E282" s="1273"/>
      <c r="F282" s="1274"/>
      <c r="G282" s="246" t="s">
        <v>181</v>
      </c>
      <c r="H282" s="205"/>
      <c r="I282" s="239">
        <v>113.32</v>
      </c>
      <c r="J282" s="205"/>
      <c r="K282" s="229">
        <f>+'Table 3a'!AY94</f>
        <v>552121</v>
      </c>
      <c r="L282" s="3"/>
      <c r="M282" s="118"/>
    </row>
    <row r="283" spans="1:13" s="154" customFormat="1" ht="12.75" customHeight="1">
      <c r="A283" t="s">
        <v>208</v>
      </c>
      <c r="B283"/>
      <c r="C283" s="247" t="s">
        <v>182</v>
      </c>
      <c r="D283" s="1273" t="s">
        <v>183</v>
      </c>
      <c r="E283" s="1273"/>
      <c r="F283" s="1274"/>
      <c r="G283" s="246" t="s">
        <v>184</v>
      </c>
      <c r="H283" s="205"/>
      <c r="I283" s="239">
        <v>456.18</v>
      </c>
      <c r="J283" s="205"/>
      <c r="K283" s="229"/>
      <c r="L283" s="3"/>
      <c r="M283" s="118"/>
    </row>
    <row r="284" spans="1:13" s="154" customFormat="1" ht="12.75" customHeight="1">
      <c r="A284" t="s">
        <v>208</v>
      </c>
      <c r="B284"/>
      <c r="C284" s="247" t="s">
        <v>182</v>
      </c>
      <c r="D284" s="1273" t="s">
        <v>183</v>
      </c>
      <c r="E284" s="1273"/>
      <c r="F284" s="1274"/>
      <c r="G284" s="246" t="s">
        <v>185</v>
      </c>
      <c r="H284" s="205"/>
      <c r="I284" s="239">
        <v>192.36</v>
      </c>
      <c r="J284" s="205"/>
      <c r="K284" s="229"/>
      <c r="L284" s="3"/>
      <c r="M284" s="118"/>
    </row>
    <row r="285" spans="1:13" s="154" customFormat="1" ht="21" customHeight="1">
      <c r="A285" t="s">
        <v>208</v>
      </c>
      <c r="B285" s="52"/>
      <c r="C285" s="205"/>
      <c r="D285" s="1273" t="s">
        <v>209</v>
      </c>
      <c r="E285" s="1273"/>
      <c r="F285" s="1274"/>
      <c r="G285" s="246" t="s">
        <v>210</v>
      </c>
      <c r="H285" s="205"/>
      <c r="I285" s="239">
        <f>+'Table 3a'!AZ15</f>
        <v>133.85</v>
      </c>
      <c r="J285" s="205"/>
      <c r="K285" s="229">
        <f>+'Table 3a'!AZ94</f>
        <v>290992</v>
      </c>
      <c r="L285" s="3"/>
      <c r="M285" s="118"/>
    </row>
    <row r="286" spans="1:13" s="154" customFormat="1" ht="21" customHeight="1">
      <c r="A286" t="s">
        <v>208</v>
      </c>
      <c r="B286" s="52"/>
      <c r="C286" s="205"/>
      <c r="D286" s="1273" t="s">
        <v>211</v>
      </c>
      <c r="E286" s="1273"/>
      <c r="F286" s="1274"/>
      <c r="G286" s="246" t="s">
        <v>210</v>
      </c>
      <c r="H286" s="205"/>
      <c r="I286" s="239">
        <f>+'Table 3a'!BA15</f>
        <v>99.83</v>
      </c>
      <c r="J286" s="205"/>
      <c r="K286" s="229">
        <f>+'Table 3a'!BA94</f>
        <v>281941</v>
      </c>
      <c r="L286" s="3"/>
      <c r="M286" s="95"/>
    </row>
    <row r="287" spans="2:13" s="154" customFormat="1" ht="12.75" customHeight="1" thickBot="1">
      <c r="B287" s="52"/>
      <c r="C287" s="205"/>
      <c r="D287" s="205"/>
      <c r="E287" s="205"/>
      <c r="F287" s="205"/>
      <c r="G287" s="206"/>
      <c r="H287" s="205"/>
      <c r="I287" s="273"/>
      <c r="J287" s="205"/>
      <c r="K287" s="111" t="s">
        <v>99</v>
      </c>
      <c r="L287" s="3"/>
      <c r="M287" s="118"/>
    </row>
    <row r="288" spans="2:13" s="154" customFormat="1" ht="12.75" customHeight="1" thickBot="1">
      <c r="B288" s="52"/>
      <c r="C288" s="205"/>
      <c r="D288" s="205"/>
      <c r="E288" s="205"/>
      <c r="F288" s="205"/>
      <c r="G288" s="206"/>
      <c r="H288" s="205"/>
      <c r="I288" s="207"/>
      <c r="J288" s="205"/>
      <c r="K288" s="230">
        <f>SUM(K281:K286)</f>
        <v>1125054</v>
      </c>
      <c r="L288" s="3"/>
      <c r="M288" s="118"/>
    </row>
    <row r="289" spans="1:13" s="154" customFormat="1" ht="12.75" customHeight="1">
      <c r="A289" t="s">
        <v>208</v>
      </c>
      <c r="B289"/>
      <c r="C289" s="248" t="s">
        <v>188</v>
      </c>
      <c r="D289" s="1273" t="s">
        <v>189</v>
      </c>
      <c r="E289" s="1273"/>
      <c r="F289" s="1274"/>
      <c r="G289" s="246" t="s">
        <v>190</v>
      </c>
      <c r="H289" s="205"/>
      <c r="I289" s="239">
        <v>727.76</v>
      </c>
      <c r="J289" s="205"/>
      <c r="K289" s="229"/>
      <c r="L289" s="3"/>
      <c r="M289" s="118"/>
    </row>
    <row r="290" spans="1:13" s="154" customFormat="1" ht="12.75" customHeight="1">
      <c r="A290" t="s">
        <v>208</v>
      </c>
      <c r="B290"/>
      <c r="C290" s="248" t="s">
        <v>188</v>
      </c>
      <c r="D290" s="1273" t="s">
        <v>189</v>
      </c>
      <c r="E290" s="1273"/>
      <c r="F290" s="1274"/>
      <c r="G290" s="246" t="s">
        <v>191</v>
      </c>
      <c r="H290" s="205"/>
      <c r="I290" s="239">
        <v>134.07</v>
      </c>
      <c r="J290" s="205"/>
      <c r="K290" s="229">
        <f>+'Table 3a'!AY119</f>
        <v>578022</v>
      </c>
      <c r="L290" s="3"/>
      <c r="M290" s="118"/>
    </row>
    <row r="291" spans="1:13" s="154" customFormat="1" ht="25.5" customHeight="1">
      <c r="A291" t="s">
        <v>208</v>
      </c>
      <c r="B291" s="52"/>
      <c r="C291" s="205"/>
      <c r="D291" s="1273" t="s">
        <v>209</v>
      </c>
      <c r="E291" s="1273"/>
      <c r="F291" s="1274"/>
      <c r="G291" s="246" t="s">
        <v>210</v>
      </c>
      <c r="H291" s="205"/>
      <c r="I291" s="239">
        <f>+'Table 3a'!AZ16</f>
        <v>273.2</v>
      </c>
      <c r="J291" s="205"/>
      <c r="K291" s="229">
        <f>+'Table 3a'!AZ119</f>
        <v>383027</v>
      </c>
      <c r="L291" s="3"/>
      <c r="M291" s="118"/>
    </row>
    <row r="292" spans="1:13" s="154" customFormat="1" ht="27" customHeight="1">
      <c r="A292" t="s">
        <v>208</v>
      </c>
      <c r="B292" s="52"/>
      <c r="C292" s="205"/>
      <c r="D292" s="1273" t="s">
        <v>211</v>
      </c>
      <c r="E292" s="1273"/>
      <c r="F292" s="1274"/>
      <c r="G292" s="246" t="s">
        <v>210</v>
      </c>
      <c r="H292" s="205"/>
      <c r="I292" s="239">
        <f>+'Table 3a'!BA16</f>
        <v>195.37</v>
      </c>
      <c r="J292" s="205"/>
      <c r="K292" s="229">
        <f>+'Table 3a'!BA119</f>
        <v>422826</v>
      </c>
      <c r="L292" s="3"/>
      <c r="M292" s="118"/>
    </row>
    <row r="293" spans="2:13" s="154" customFormat="1" ht="12.75" customHeight="1">
      <c r="B293" s="52"/>
      <c r="C293" s="205"/>
      <c r="D293" s="1275" t="s">
        <v>212</v>
      </c>
      <c r="E293" s="1275"/>
      <c r="F293" s="1275"/>
      <c r="G293" s="246" t="s">
        <v>202</v>
      </c>
      <c r="H293" s="205"/>
      <c r="I293" s="239">
        <f>+'Table 3a'!BB16</f>
        <v>17803</v>
      </c>
      <c r="J293" s="205"/>
      <c r="K293" s="229">
        <f>+'Table 3a'!BB119</f>
        <v>213636</v>
      </c>
      <c r="L293" s="3"/>
      <c r="M293" s="95"/>
    </row>
    <row r="294" spans="2:13" s="154" customFormat="1" ht="12.75" customHeight="1" thickBot="1">
      <c r="B294" s="1271"/>
      <c r="C294" s="1271"/>
      <c r="D294" s="1271"/>
      <c r="E294" s="1271"/>
      <c r="F294" s="1271"/>
      <c r="G294" s="1271"/>
      <c r="H294" s="1271"/>
      <c r="I294" s="1271"/>
      <c r="J294" s="231"/>
      <c r="K294" s="107" t="s">
        <v>102</v>
      </c>
      <c r="L294" s="168"/>
      <c r="M294" s="232"/>
    </row>
    <row r="295" spans="2:13" s="154" customFormat="1" ht="12.75" customHeight="1" thickBot="1" thickTop="1">
      <c r="B295" s="233"/>
      <c r="C295" s="233"/>
      <c r="D295" s="233"/>
      <c r="E295" s="233"/>
      <c r="F295" s="233"/>
      <c r="G295" s="233"/>
      <c r="H295" s="233"/>
      <c r="I295" s="233"/>
      <c r="J295" s="234"/>
      <c r="K295" s="269">
        <f>SUM(K289:K293)</f>
        <v>1597511</v>
      </c>
      <c r="L295" s="235"/>
      <c r="M295" s="236"/>
    </row>
    <row r="296" spans="2:13" s="154" customFormat="1" ht="12.75" customHeight="1" thickTop="1">
      <c r="B296" s="233"/>
      <c r="C296" s="233"/>
      <c r="D296" s="233"/>
      <c r="E296" s="233"/>
      <c r="F296" s="233"/>
      <c r="G296" s="233"/>
      <c r="H296" s="233"/>
      <c r="I296" s="233"/>
      <c r="J296" s="234"/>
      <c r="K296" s="268"/>
      <c r="L296" s="235"/>
      <c r="M296" s="236"/>
    </row>
    <row r="297" spans="2:13" s="154" customFormat="1" ht="12.75" customHeight="1">
      <c r="B297" s="1270" t="s">
        <v>114</v>
      </c>
      <c r="C297" s="1270"/>
      <c r="D297" s="1270"/>
      <c r="E297" s="1270"/>
      <c r="F297" s="1270"/>
      <c r="G297" s="1270"/>
      <c r="H297" s="1270"/>
      <c r="I297" s="1270"/>
      <c r="J297" s="234"/>
      <c r="K297" s="268"/>
      <c r="L297" s="235"/>
      <c r="M297" s="236"/>
    </row>
    <row r="298" spans="2:13" s="154" customFormat="1" ht="20.25" customHeight="1">
      <c r="B298" s="1272" t="s">
        <v>213</v>
      </c>
      <c r="C298" s="1272"/>
      <c r="D298" s="1272"/>
      <c r="E298" s="1272"/>
      <c r="F298" s="1272"/>
      <c r="G298" s="1272"/>
      <c r="H298" s="1272"/>
      <c r="I298" s="1272"/>
      <c r="J298" s="234"/>
      <c r="K298" s="268"/>
      <c r="L298" s="235"/>
      <c r="M298" s="236"/>
    </row>
    <row r="299" spans="2:13" s="154" customFormat="1" ht="29.25" customHeight="1">
      <c r="B299" s="1269" t="s">
        <v>214</v>
      </c>
      <c r="C299" s="1269"/>
      <c r="D299" s="1269"/>
      <c r="E299" s="1269"/>
      <c r="F299" s="1269"/>
      <c r="G299" s="1269"/>
      <c r="H299" s="1269"/>
      <c r="I299" s="1269"/>
      <c r="J299" s="234"/>
      <c r="K299" s="268"/>
      <c r="L299" s="235"/>
      <c r="M299" s="236"/>
    </row>
    <row r="300" spans="2:13" s="154" customFormat="1" ht="30" customHeight="1">
      <c r="B300" s="1269" t="s">
        <v>215</v>
      </c>
      <c r="C300" s="1269"/>
      <c r="D300" s="1269"/>
      <c r="E300" s="1269"/>
      <c r="F300" s="1269"/>
      <c r="G300" s="1269"/>
      <c r="H300" s="1269"/>
      <c r="I300" s="1269"/>
      <c r="J300" s="234"/>
      <c r="K300" s="268"/>
      <c r="L300" s="235"/>
      <c r="M300" s="236"/>
    </row>
    <row r="301" spans="2:13" s="154" customFormat="1" ht="31.5" customHeight="1">
      <c r="B301" s="1269" t="s">
        <v>216</v>
      </c>
      <c r="C301" s="1269"/>
      <c r="D301" s="1269"/>
      <c r="E301" s="1269"/>
      <c r="F301" s="1269"/>
      <c r="G301" s="1269"/>
      <c r="H301" s="1269"/>
      <c r="I301" s="1269"/>
      <c r="J301" s="234"/>
      <c r="K301" s="268"/>
      <c r="L301" s="235"/>
      <c r="M301" s="236"/>
    </row>
    <row r="302" spans="2:13" s="154" customFormat="1" ht="12.75" customHeight="1">
      <c r="B302" s="196"/>
      <c r="C302" s="197"/>
      <c r="D302" s="197"/>
      <c r="E302" s="197"/>
      <c r="F302" s="197"/>
      <c r="G302" s="197"/>
      <c r="H302" s="197"/>
      <c r="I302" s="198"/>
      <c r="J302" s="234"/>
      <c r="K302" s="268"/>
      <c r="L302" s="235"/>
      <c r="M302" s="236"/>
    </row>
    <row r="303" spans="2:13" s="154" customFormat="1" ht="12.75" customHeight="1">
      <c r="B303" s="233"/>
      <c r="C303" s="233"/>
      <c r="D303" s="233"/>
      <c r="E303" s="233"/>
      <c r="F303" s="233"/>
      <c r="G303" s="233"/>
      <c r="H303" s="233"/>
      <c r="I303" s="233"/>
      <c r="J303" s="234"/>
      <c r="K303" s="268"/>
      <c r="L303" s="235"/>
      <c r="M303" s="236"/>
    </row>
    <row r="304" spans="2:13" s="154" customFormat="1" ht="12.75" customHeight="1">
      <c r="B304" s="274"/>
      <c r="C304" s="274"/>
      <c r="D304" s="274"/>
      <c r="E304" s="274"/>
      <c r="F304" s="274"/>
      <c r="G304" s="275"/>
      <c r="H304" s="274"/>
      <c r="I304" s="276"/>
      <c r="J304" s="274"/>
      <c r="K304" s="155"/>
      <c r="M304" s="271"/>
    </row>
    <row r="305" spans="2:15" ht="12.75" customHeight="1">
      <c r="B305" s="1277" t="s">
        <v>217</v>
      </c>
      <c r="C305" s="1278"/>
      <c r="D305" s="1278"/>
      <c r="E305" s="1278"/>
      <c r="F305" s="1278"/>
      <c r="G305" s="1278"/>
      <c r="H305" s="1278"/>
      <c r="I305" s="1279"/>
      <c r="J305" s="115"/>
      <c r="K305" s="63"/>
      <c r="O305" s="3"/>
    </row>
    <row r="306" spans="2:15" ht="12.75" customHeight="1">
      <c r="B306" s="123"/>
      <c r="C306" s="123"/>
      <c r="D306" s="123"/>
      <c r="E306" s="123"/>
      <c r="F306" s="123"/>
      <c r="G306" s="123"/>
      <c r="H306" s="123"/>
      <c r="I306" s="123"/>
      <c r="J306" s="115"/>
      <c r="K306" s="63"/>
      <c r="O306" s="3"/>
    </row>
    <row r="307" spans="2:13" s="154" customFormat="1" ht="12.75" customHeight="1">
      <c r="B307" s="52"/>
      <c r="C307" s="205"/>
      <c r="D307" s="205"/>
      <c r="E307" s="205"/>
      <c r="F307" s="205"/>
      <c r="G307" s="206"/>
      <c r="H307" s="205"/>
      <c r="I307" s="228"/>
      <c r="J307" s="205"/>
      <c r="K307" s="182"/>
      <c r="L307" s="3"/>
      <c r="M307" s="95"/>
    </row>
    <row r="308" spans="2:13" s="154" customFormat="1" ht="12.75" customHeight="1" thickBot="1">
      <c r="B308" s="52"/>
      <c r="C308" s="205"/>
      <c r="D308" s="205"/>
      <c r="E308" s="205"/>
      <c r="F308" s="205"/>
      <c r="G308" s="206"/>
      <c r="H308" s="205"/>
      <c r="I308" s="207"/>
      <c r="J308" s="205"/>
      <c r="K308" s="204" t="s">
        <v>137</v>
      </c>
      <c r="L308" s="3"/>
      <c r="M308" s="118"/>
    </row>
    <row r="309" spans="2:13" s="154" customFormat="1" ht="12.75" customHeight="1" thickBot="1">
      <c r="B309" s="52"/>
      <c r="C309" s="205"/>
      <c r="D309" s="205"/>
      <c r="E309" s="205"/>
      <c r="F309" s="205"/>
      <c r="G309" s="206"/>
      <c r="H309" s="205"/>
      <c r="I309" s="207"/>
      <c r="J309" s="205"/>
      <c r="K309" s="172"/>
      <c r="L309" s="3"/>
      <c r="M309" s="118"/>
    </row>
    <row r="310" spans="2:13" s="154" customFormat="1" ht="12.75" customHeight="1">
      <c r="B310" s="52"/>
      <c r="C310" s="205"/>
      <c r="D310" s="205"/>
      <c r="E310" s="205"/>
      <c r="F310" s="205"/>
      <c r="G310" s="206"/>
      <c r="H310" s="205"/>
      <c r="I310" s="207"/>
      <c r="J310" s="205"/>
      <c r="K310" s="268"/>
      <c r="L310" s="3"/>
      <c r="M310" s="118"/>
    </row>
    <row r="311" spans="2:13" s="154" customFormat="1" ht="27" customHeight="1">
      <c r="B311" s="1253" t="s">
        <v>218</v>
      </c>
      <c r="C311" s="1253"/>
      <c r="D311" s="1253"/>
      <c r="E311" s="1253"/>
      <c r="F311" s="1253"/>
      <c r="G311" s="206"/>
      <c r="H311" s="205"/>
      <c r="I311" s="239">
        <f>+'Table 3a'!BD15</f>
        <v>24.39</v>
      </c>
      <c r="J311" s="205"/>
      <c r="K311" s="277">
        <f>+'Table 3a'!BD94</f>
        <v>39270</v>
      </c>
      <c r="L311" s="3"/>
      <c r="M311" s="118"/>
    </row>
    <row r="312" spans="2:13" s="154" customFormat="1" ht="12.75" customHeight="1">
      <c r="B312" s="1253" t="s">
        <v>219</v>
      </c>
      <c r="C312" s="1253"/>
      <c r="D312" s="1253"/>
      <c r="E312" s="1253"/>
      <c r="F312" s="1253"/>
      <c r="G312" s="206"/>
      <c r="H312" s="205"/>
      <c r="I312" s="239">
        <f>+'Table 3a'!BE15</f>
        <v>352.96</v>
      </c>
      <c r="J312" s="205"/>
      <c r="K312" s="278">
        <f>+'Table 3a'!BE94</f>
        <v>35296</v>
      </c>
      <c r="L312" s="3"/>
      <c r="M312" s="118"/>
    </row>
    <row r="313" spans="2:13" s="154" customFormat="1" ht="26.25" customHeight="1">
      <c r="B313" s="1253" t="s">
        <v>220</v>
      </c>
      <c r="C313" s="1253"/>
      <c r="D313" s="1253"/>
      <c r="E313" s="1253"/>
      <c r="F313" s="1253"/>
      <c r="G313" s="279" t="s">
        <v>221</v>
      </c>
      <c r="H313" s="205"/>
      <c r="I313" s="239">
        <f>+'Table 3a'!BF15</f>
        <v>6833</v>
      </c>
      <c r="J313" s="205"/>
      <c r="K313" s="278">
        <f>+'Table 3a'!BF94</f>
        <v>60358</v>
      </c>
      <c r="L313" s="3"/>
      <c r="M313" s="118"/>
    </row>
    <row r="314" spans="2:13" s="154" customFormat="1" ht="12.75" customHeight="1">
      <c r="B314" s="1253" t="s">
        <v>222</v>
      </c>
      <c r="C314" s="1253"/>
      <c r="D314" s="1253"/>
      <c r="E314" s="1253"/>
      <c r="F314" s="1253"/>
      <c r="G314" s="206"/>
      <c r="H314" s="205"/>
      <c r="I314" s="239">
        <f>+'Table 3a'!BG15</f>
        <v>199.1</v>
      </c>
      <c r="J314" s="205"/>
      <c r="K314" s="278">
        <f>+'Table 3a'!BG94</f>
        <v>432849</v>
      </c>
      <c r="L314" s="3"/>
      <c r="M314" s="118"/>
    </row>
    <row r="315" spans="2:13" s="154" customFormat="1" ht="12.75" customHeight="1">
      <c r="B315" s="1253" t="s">
        <v>223</v>
      </c>
      <c r="C315" s="1253"/>
      <c r="D315" s="1253"/>
      <c r="E315" s="1253"/>
      <c r="F315" s="1253"/>
      <c r="G315" s="206"/>
      <c r="H315" s="205"/>
      <c r="I315" s="239">
        <f>+'Table 3a'!BH15</f>
        <v>153.22</v>
      </c>
      <c r="J315" s="205"/>
      <c r="K315" s="278">
        <f>+'Table 3a'!BH94</f>
        <v>432717.00000000006</v>
      </c>
      <c r="L315" s="3"/>
      <c r="M315" s="95"/>
    </row>
    <row r="316" spans="2:13" s="154" customFormat="1" ht="12.75" customHeight="1" thickBot="1">
      <c r="B316" s="52"/>
      <c r="C316" s="205"/>
      <c r="D316" s="205"/>
      <c r="E316" s="205"/>
      <c r="F316" s="205"/>
      <c r="G316" s="206"/>
      <c r="H316" s="205"/>
      <c r="I316" s="207"/>
      <c r="J316" s="205"/>
      <c r="K316" s="280" t="s">
        <v>99</v>
      </c>
      <c r="L316" s="3"/>
      <c r="M316" s="118"/>
    </row>
    <row r="317" spans="2:13" s="154" customFormat="1" ht="12.75" customHeight="1" thickBot="1">
      <c r="B317" s="52"/>
      <c r="C317" s="205"/>
      <c r="D317" s="205"/>
      <c r="E317" s="205"/>
      <c r="F317" s="205"/>
      <c r="G317" s="206"/>
      <c r="H317" s="205"/>
      <c r="I317" s="207"/>
      <c r="J317" s="205"/>
      <c r="K317" s="281">
        <f>SUM(K311:K315)</f>
        <v>1000490</v>
      </c>
      <c r="L317" s="3"/>
      <c r="M317" s="118"/>
    </row>
    <row r="318" spans="2:13" s="154" customFormat="1" ht="12.75" customHeight="1">
      <c r="B318" s="52"/>
      <c r="C318" s="205"/>
      <c r="D318" s="205"/>
      <c r="E318" s="205"/>
      <c r="F318" s="205"/>
      <c r="G318" s="206"/>
      <c r="H318" s="205"/>
      <c r="I318" s="207"/>
      <c r="J318" s="205"/>
      <c r="K318" s="282"/>
      <c r="L318" s="3"/>
      <c r="M318" s="118"/>
    </row>
    <row r="319" spans="2:13" s="154" customFormat="1" ht="21.75" customHeight="1">
      <c r="B319" s="1253" t="s">
        <v>219</v>
      </c>
      <c r="C319" s="1253"/>
      <c r="D319" s="1253"/>
      <c r="E319" s="1253"/>
      <c r="F319" s="1253"/>
      <c r="G319" s="206"/>
      <c r="H319" s="205"/>
      <c r="I319" s="239">
        <f>+'Table 3a'!BE16</f>
        <v>373.38</v>
      </c>
      <c r="J319" s="205"/>
      <c r="K319" s="182">
        <f>+'Table 3a'!BE119</f>
        <v>419306</v>
      </c>
      <c r="L319" s="3"/>
      <c r="M319" s="118"/>
    </row>
    <row r="320" spans="2:13" s="154" customFormat="1" ht="22.5" customHeight="1">
      <c r="B320" s="1253" t="s">
        <v>220</v>
      </c>
      <c r="C320" s="1253"/>
      <c r="D320" s="1253"/>
      <c r="E320" s="1253"/>
      <c r="F320" s="1253"/>
      <c r="G320" s="279" t="s">
        <v>221</v>
      </c>
      <c r="H320" s="205"/>
      <c r="I320" s="239">
        <f>+'Table 3a'!BF16</f>
        <v>6833</v>
      </c>
      <c r="J320" s="205"/>
      <c r="K320" s="229">
        <f>+'Table 3a'!BF119</f>
        <v>13666</v>
      </c>
      <c r="L320" s="3"/>
      <c r="M320" s="118"/>
    </row>
    <row r="321" spans="2:13" s="154" customFormat="1" ht="12.75" customHeight="1">
      <c r="B321" s="1253" t="s">
        <v>222</v>
      </c>
      <c r="C321" s="1253"/>
      <c r="D321" s="1253"/>
      <c r="E321" s="1253"/>
      <c r="F321" s="1253"/>
      <c r="G321" s="206"/>
      <c r="H321" s="205"/>
      <c r="I321" s="239">
        <f>+'Table 3a'!BG16</f>
        <v>199.1</v>
      </c>
      <c r="J321" s="205"/>
      <c r="K321" s="229">
        <f>+'Table 3a'!BG119</f>
        <v>279139</v>
      </c>
      <c r="L321" s="3"/>
      <c r="M321" s="118"/>
    </row>
    <row r="322" spans="2:13" s="154" customFormat="1" ht="12.75" customHeight="1">
      <c r="B322" s="1253" t="s">
        <v>223</v>
      </c>
      <c r="C322" s="1253"/>
      <c r="D322" s="1253"/>
      <c r="E322" s="1253"/>
      <c r="F322" s="1253"/>
      <c r="G322" s="206"/>
      <c r="H322" s="205"/>
      <c r="I322" s="239">
        <f>+'Table 3a'!BH16</f>
        <v>150.24</v>
      </c>
      <c r="J322" s="205"/>
      <c r="K322" s="229">
        <f>+'Table 3a'!BH119</f>
        <v>325153</v>
      </c>
      <c r="L322" s="3"/>
      <c r="M322" s="95"/>
    </row>
    <row r="323" spans="2:13" s="154" customFormat="1" ht="12.75" customHeight="1" thickBot="1">
      <c r="B323" s="1271"/>
      <c r="C323" s="1271"/>
      <c r="D323" s="1271"/>
      <c r="E323" s="1271"/>
      <c r="F323" s="1271"/>
      <c r="G323" s="1271"/>
      <c r="H323" s="1271"/>
      <c r="I323" s="1271"/>
      <c r="J323" s="231"/>
      <c r="K323" s="107" t="s">
        <v>102</v>
      </c>
      <c r="L323" s="168"/>
      <c r="M323" s="232"/>
    </row>
    <row r="324" spans="2:13" s="154" customFormat="1" ht="12.75" customHeight="1" thickBot="1" thickTop="1">
      <c r="B324" s="233"/>
      <c r="C324" s="233"/>
      <c r="D324" s="233"/>
      <c r="E324" s="233"/>
      <c r="F324" s="233"/>
      <c r="G324" s="233"/>
      <c r="H324" s="233"/>
      <c r="I324" s="233"/>
      <c r="J324" s="234"/>
      <c r="K324" s="269">
        <f>SUM(K319:K322)</f>
        <v>1037264</v>
      </c>
      <c r="L324" s="235"/>
      <c r="M324" s="236"/>
    </row>
    <row r="325" spans="3:13" s="154" customFormat="1" ht="12.75" customHeight="1" thickTop="1">
      <c r="C325" s="270"/>
      <c r="D325" s="1322"/>
      <c r="E325" s="1322"/>
      <c r="F325" s="1322"/>
      <c r="G325" s="254"/>
      <c r="H325" s="216"/>
      <c r="I325" s="225"/>
      <c r="J325" s="216"/>
      <c r="K325" s="155"/>
      <c r="M325" s="271"/>
    </row>
    <row r="326" spans="2:15" ht="12.75" customHeight="1">
      <c r="B326" s="1264" t="s">
        <v>114</v>
      </c>
      <c r="C326" s="1265"/>
      <c r="D326" s="1265"/>
      <c r="E326" s="1265"/>
      <c r="F326" s="1265"/>
      <c r="G326" s="1265"/>
      <c r="H326" s="1265"/>
      <c r="I326" s="1265"/>
      <c r="J326" s="130"/>
      <c r="K326" s="117"/>
      <c r="M326" s="118"/>
      <c r="O326" s="3"/>
    </row>
    <row r="327" spans="2:15" ht="42" customHeight="1">
      <c r="B327" s="1269" t="s">
        <v>224</v>
      </c>
      <c r="C327" s="1269"/>
      <c r="D327" s="1269"/>
      <c r="E327" s="1269"/>
      <c r="F327" s="1269"/>
      <c r="G327" s="1269"/>
      <c r="H327" s="1269"/>
      <c r="I327" s="1269"/>
      <c r="J327" s="132"/>
      <c r="K327" s="117"/>
      <c r="M327" s="118"/>
      <c r="O327" s="3"/>
    </row>
    <row r="328" spans="2:15" ht="40.5" customHeight="1">
      <c r="B328" s="1269" t="s">
        <v>225</v>
      </c>
      <c r="C328" s="1269"/>
      <c r="D328" s="1269"/>
      <c r="E328" s="1269"/>
      <c r="F328" s="1269"/>
      <c r="G328" s="1269"/>
      <c r="H328" s="1269"/>
      <c r="I328" s="1269"/>
      <c r="J328" s="132"/>
      <c r="K328" s="117"/>
      <c r="M328" s="118"/>
      <c r="O328" s="3"/>
    </row>
    <row r="329" spans="2:15" ht="30" customHeight="1">
      <c r="B329" s="1269" t="s">
        <v>226</v>
      </c>
      <c r="C329" s="1269"/>
      <c r="D329" s="1269"/>
      <c r="E329" s="1269"/>
      <c r="F329" s="1269"/>
      <c r="G329" s="1269"/>
      <c r="H329" s="1269"/>
      <c r="I329" s="1269"/>
      <c r="J329" s="132"/>
      <c r="K329" s="117"/>
      <c r="M329" s="118"/>
      <c r="O329" s="3"/>
    </row>
    <row r="330" spans="2:15" ht="29.25" customHeight="1">
      <c r="B330" s="1269" t="s">
        <v>215</v>
      </c>
      <c r="C330" s="1269"/>
      <c r="D330" s="1269"/>
      <c r="E330" s="1269"/>
      <c r="F330" s="1269"/>
      <c r="G330" s="1269"/>
      <c r="H330" s="1269"/>
      <c r="I330" s="1269"/>
      <c r="J330" s="132"/>
      <c r="K330" s="117"/>
      <c r="M330" s="118"/>
      <c r="O330" s="3"/>
    </row>
    <row r="331" spans="2:15" ht="33" customHeight="1">
      <c r="B331" s="1254" t="s">
        <v>227</v>
      </c>
      <c r="C331" s="1254"/>
      <c r="D331" s="1254"/>
      <c r="E331" s="1254"/>
      <c r="F331" s="1254"/>
      <c r="G331" s="1254"/>
      <c r="H331" s="1254"/>
      <c r="I331" s="1254"/>
      <c r="J331" s="132"/>
      <c r="K331" s="117"/>
      <c r="M331" s="118"/>
      <c r="O331" s="3"/>
    </row>
    <row r="332" spans="2:15" ht="28.5" customHeight="1">
      <c r="B332" s="1269" t="s">
        <v>228</v>
      </c>
      <c r="C332" s="1269"/>
      <c r="D332" s="1269"/>
      <c r="E332" s="1269"/>
      <c r="F332" s="1269"/>
      <c r="G332" s="1269"/>
      <c r="H332" s="1269"/>
      <c r="I332" s="1269"/>
      <c r="J332" s="132"/>
      <c r="K332" s="117"/>
      <c r="M332" s="118"/>
      <c r="O332" s="3"/>
    </row>
    <row r="333" spans="2:15" ht="12.75" customHeight="1">
      <c r="B333" s="196"/>
      <c r="C333" s="197"/>
      <c r="D333" s="197"/>
      <c r="E333" s="197"/>
      <c r="F333" s="197"/>
      <c r="G333" s="197"/>
      <c r="H333" s="197"/>
      <c r="I333" s="198"/>
      <c r="J333" s="132"/>
      <c r="K333" s="117"/>
      <c r="M333" s="118"/>
      <c r="O333" s="3"/>
    </row>
    <row r="334" spans="2:15" ht="12.75" customHeight="1">
      <c r="B334" s="60"/>
      <c r="C334" s="60"/>
      <c r="D334" s="60"/>
      <c r="E334" s="60"/>
      <c r="F334" s="60"/>
      <c r="G334" s="61"/>
      <c r="H334" s="60"/>
      <c r="I334" s="62"/>
      <c r="J334" s="60"/>
      <c r="K334" s="117"/>
      <c r="M334" s="118"/>
      <c r="O334" s="3"/>
    </row>
    <row r="335" spans="2:15" ht="15" customHeight="1">
      <c r="B335" s="1255" t="s">
        <v>229</v>
      </c>
      <c r="C335" s="1380"/>
      <c r="D335" s="1380"/>
      <c r="E335" s="1380"/>
      <c r="F335" s="1380"/>
      <c r="G335" s="1380"/>
      <c r="H335" s="1380"/>
      <c r="I335" s="1381"/>
      <c r="O335" s="3"/>
    </row>
    <row r="336" spans="2:15" ht="12.75" customHeight="1">
      <c r="B336" s="168"/>
      <c r="C336" s="283"/>
      <c r="D336" s="283"/>
      <c r="E336" s="283"/>
      <c r="F336" s="283"/>
      <c r="G336" s="284"/>
      <c r="H336" s="88"/>
      <c r="O336" s="3"/>
    </row>
    <row r="337" spans="2:15" ht="12.75" customHeight="1">
      <c r="B337" s="123"/>
      <c r="C337" s="1315" t="s">
        <v>85</v>
      </c>
      <c r="D337" s="1315"/>
      <c r="E337" s="212"/>
      <c r="F337" s="115"/>
      <c r="G337" s="255"/>
      <c r="H337" s="115"/>
      <c r="I337" s="243"/>
      <c r="J337" s="88"/>
      <c r="O337" s="3"/>
    </row>
    <row r="338" spans="2:15" ht="12.75" customHeight="1">
      <c r="B338" s="123"/>
      <c r="C338" s="215"/>
      <c r="D338" s="1258"/>
      <c r="E338" s="1258"/>
      <c r="F338" s="1259"/>
      <c r="G338" s="285"/>
      <c r="H338" s="286"/>
      <c r="I338" s="287"/>
      <c r="J338" s="129"/>
      <c r="K338" s="288"/>
      <c r="O338" s="3"/>
    </row>
    <row r="339" spans="2:15" ht="12.75" customHeight="1">
      <c r="B339" s="123"/>
      <c r="C339" s="215"/>
      <c r="D339" s="1258"/>
      <c r="E339" s="1258"/>
      <c r="F339" s="1259"/>
      <c r="G339" s="285"/>
      <c r="H339" s="286"/>
      <c r="I339" s="287"/>
      <c r="J339" s="129"/>
      <c r="K339" s="288"/>
      <c r="O339" s="3"/>
    </row>
    <row r="340" spans="2:15" ht="12.75" customHeight="1">
      <c r="B340" s="123"/>
      <c r="C340" s="215"/>
      <c r="D340" s="1258"/>
      <c r="E340" s="1258"/>
      <c r="F340" s="1259"/>
      <c r="G340" s="289"/>
      <c r="H340" s="286"/>
      <c r="I340" s="287"/>
      <c r="J340" s="129"/>
      <c r="K340" s="288"/>
      <c r="O340" s="3"/>
    </row>
    <row r="341" spans="2:15" ht="12.75" customHeight="1">
      <c r="B341" s="123"/>
      <c r="C341" s="215"/>
      <c r="D341" s="1258"/>
      <c r="E341" s="1258"/>
      <c r="F341" s="1259"/>
      <c r="G341" s="285"/>
      <c r="H341" s="286"/>
      <c r="I341" s="287"/>
      <c r="J341" s="129"/>
      <c r="K341" s="290"/>
      <c r="O341" s="3"/>
    </row>
    <row r="342" spans="2:15" ht="12.75" customHeight="1" thickBot="1">
      <c r="B342" s="123"/>
      <c r="C342" s="215"/>
      <c r="D342" s="1258"/>
      <c r="E342" s="1258"/>
      <c r="F342" s="1259"/>
      <c r="G342" s="285"/>
      <c r="H342" s="286"/>
      <c r="I342" s="287"/>
      <c r="J342" s="129"/>
      <c r="K342" s="204" t="s">
        <v>137</v>
      </c>
      <c r="O342" s="3"/>
    </row>
    <row r="343" spans="2:15" ht="12.75" customHeight="1" thickBot="1">
      <c r="B343" s="123"/>
      <c r="C343" s="205"/>
      <c r="D343" s="1260"/>
      <c r="E343" s="1260"/>
      <c r="F343" s="1259"/>
      <c r="G343" s="285"/>
      <c r="H343" s="286"/>
      <c r="I343" s="287"/>
      <c r="J343" s="129"/>
      <c r="K343" s="172"/>
      <c r="O343" s="3"/>
    </row>
    <row r="344" spans="3:15" ht="12.75" customHeight="1">
      <c r="C344" s="1261" t="s">
        <v>164</v>
      </c>
      <c r="D344" s="1261"/>
      <c r="E344" s="212"/>
      <c r="F344" s="115"/>
      <c r="G344" s="255"/>
      <c r="H344" s="55"/>
      <c r="I344" s="243"/>
      <c r="J344" s="129"/>
      <c r="K344" s="288"/>
      <c r="O344" s="3"/>
    </row>
    <row r="345" spans="2:15" ht="12.75" customHeight="1">
      <c r="B345" s="1253" t="s">
        <v>230</v>
      </c>
      <c r="C345" s="1253"/>
      <c r="D345" s="1253"/>
      <c r="E345" s="1253"/>
      <c r="F345" s="1253"/>
      <c r="G345" s="291" t="s">
        <v>231</v>
      </c>
      <c r="H345" s="286"/>
      <c r="I345" s="287"/>
      <c r="J345" s="129"/>
      <c r="K345" s="288"/>
      <c r="O345" s="3"/>
    </row>
    <row r="346" spans="2:15" ht="12.75" customHeight="1" thickBot="1">
      <c r="B346" s="1253" t="s">
        <v>232</v>
      </c>
      <c r="C346" s="1253"/>
      <c r="D346" s="1253"/>
      <c r="E346" s="1253"/>
      <c r="F346" s="1253"/>
      <c r="G346" s="291" t="s">
        <v>231</v>
      </c>
      <c r="H346" s="286"/>
      <c r="I346" s="287"/>
      <c r="J346" s="129"/>
      <c r="K346" s="290"/>
      <c r="O346" s="3"/>
    </row>
    <row r="347" spans="2:18" ht="12.75" customHeight="1" thickBot="1">
      <c r="B347" s="1266" t="s">
        <v>233</v>
      </c>
      <c r="C347" s="1267"/>
      <c r="D347" s="1267"/>
      <c r="E347" s="1267"/>
      <c r="F347" s="1268"/>
      <c r="G347" s="291" t="s">
        <v>234</v>
      </c>
      <c r="H347" s="286"/>
      <c r="I347" s="287">
        <f>+'Table 3a'!BL15</f>
        <v>28.32</v>
      </c>
      <c r="J347" s="129"/>
      <c r="K347" s="107" t="s">
        <v>99</v>
      </c>
      <c r="O347" s="3"/>
      <c r="P347" s="292" t="s">
        <v>235</v>
      </c>
      <c r="Q347" s="293" t="s">
        <v>164</v>
      </c>
      <c r="R347" s="294" t="s">
        <v>109</v>
      </c>
    </row>
    <row r="348" spans="2:18" ht="12.75" customHeight="1" thickBot="1">
      <c r="B348" s="1266" t="s">
        <v>236</v>
      </c>
      <c r="C348" s="1267"/>
      <c r="D348" s="1267"/>
      <c r="E348" s="1267"/>
      <c r="F348" s="1268"/>
      <c r="G348" s="291" t="s">
        <v>237</v>
      </c>
      <c r="H348" s="286"/>
      <c r="I348" s="287">
        <f>+'Table 3a'!BM15</f>
        <v>23.8</v>
      </c>
      <c r="J348" s="129"/>
      <c r="K348" s="172">
        <f>+'Table 3a'!BN94</f>
        <v>3627177</v>
      </c>
      <c r="O348" s="3"/>
      <c r="P348" s="295" t="s">
        <v>115</v>
      </c>
      <c r="Q348" s="296">
        <v>6.48</v>
      </c>
      <c r="R348" s="297">
        <v>7.28</v>
      </c>
    </row>
    <row r="349" spans="3:18" ht="12.75" customHeight="1">
      <c r="C349" s="1262" t="s">
        <v>109</v>
      </c>
      <c r="D349" s="1262"/>
      <c r="E349" s="241"/>
      <c r="F349" s="205"/>
      <c r="G349" s="298"/>
      <c r="H349" s="55"/>
      <c r="I349" s="299"/>
      <c r="J349" s="129"/>
      <c r="K349" s="288"/>
      <c r="O349" s="3"/>
      <c r="P349" s="300" t="s">
        <v>112</v>
      </c>
      <c r="Q349" s="301">
        <v>5.29</v>
      </c>
      <c r="R349" s="302">
        <v>4.35</v>
      </c>
    </row>
    <row r="350" spans="2:18" ht="12.75" customHeight="1">
      <c r="B350" s="1253" t="s">
        <v>230</v>
      </c>
      <c r="C350" s="1253"/>
      <c r="D350" s="1253"/>
      <c r="E350" s="1253"/>
      <c r="F350" s="1253"/>
      <c r="G350" s="291" t="s">
        <v>231</v>
      </c>
      <c r="H350" s="55"/>
      <c r="I350" s="303"/>
      <c r="J350" s="129"/>
      <c r="K350" s="288"/>
      <c r="O350" s="3"/>
      <c r="P350" s="304" t="s">
        <v>238</v>
      </c>
      <c r="Q350" s="301">
        <v>13.87</v>
      </c>
      <c r="R350" s="302">
        <v>10.87</v>
      </c>
    </row>
    <row r="351" spans="2:18" ht="12.75" customHeight="1" thickBot="1">
      <c r="B351" s="1253" t="s">
        <v>232</v>
      </c>
      <c r="C351" s="1253"/>
      <c r="D351" s="1253"/>
      <c r="E351" s="1253"/>
      <c r="F351" s="1253"/>
      <c r="G351" s="291" t="s">
        <v>231</v>
      </c>
      <c r="H351" s="286"/>
      <c r="I351" s="287"/>
      <c r="J351" s="129"/>
      <c r="K351" s="288"/>
      <c r="O351" s="3"/>
      <c r="P351" s="304" t="s">
        <v>239</v>
      </c>
      <c r="Q351" s="305">
        <v>2.68</v>
      </c>
      <c r="R351" s="306">
        <v>2.68</v>
      </c>
    </row>
    <row r="352" spans="2:18" ht="12.75" customHeight="1" thickBot="1">
      <c r="B352" s="1266" t="s">
        <v>233</v>
      </c>
      <c r="C352" s="1267"/>
      <c r="D352" s="1267"/>
      <c r="E352" s="1267"/>
      <c r="F352" s="1268"/>
      <c r="G352" s="291" t="s">
        <v>234</v>
      </c>
      <c r="H352" s="286"/>
      <c r="I352" s="287">
        <f>+'Table 3a'!BL16</f>
        <v>25.18</v>
      </c>
      <c r="J352" s="129"/>
      <c r="K352" s="204" t="s">
        <v>102</v>
      </c>
      <c r="O352" s="3"/>
      <c r="P352" s="292" t="s">
        <v>240</v>
      </c>
      <c r="Q352" s="307">
        <v>28.32</v>
      </c>
      <c r="R352" s="308">
        <v>25.18</v>
      </c>
    </row>
    <row r="353" spans="2:15" ht="12.75" customHeight="1" thickBot="1">
      <c r="B353" s="1266" t="s">
        <v>236</v>
      </c>
      <c r="C353" s="1267"/>
      <c r="D353" s="1267"/>
      <c r="E353" s="1267"/>
      <c r="F353" s="1268"/>
      <c r="G353" s="291" t="s">
        <v>237</v>
      </c>
      <c r="H353" s="286"/>
      <c r="I353" s="287">
        <f>+'Table 3a'!BM16</f>
        <v>15.01</v>
      </c>
      <c r="J353" s="129"/>
      <c r="K353" s="172">
        <f>+'Table 3a'!BN119</f>
        <v>3764949</v>
      </c>
      <c r="O353" s="3"/>
    </row>
    <row r="354" spans="3:13" s="154" customFormat="1" ht="12.75" customHeight="1">
      <c r="C354" s="309"/>
      <c r="D354" s="1263"/>
      <c r="E354" s="1263"/>
      <c r="F354" s="1263"/>
      <c r="G354" s="310"/>
      <c r="H354" s="216"/>
      <c r="I354" s="310"/>
      <c r="J354" s="216"/>
      <c r="K354" s="155"/>
      <c r="M354" s="271"/>
    </row>
    <row r="355" spans="3:13" s="154" customFormat="1" ht="12.75" customHeight="1">
      <c r="C355" s="309"/>
      <c r="D355" s="1263"/>
      <c r="E355" s="1263"/>
      <c r="F355" s="1263"/>
      <c r="G355" s="310"/>
      <c r="H355" s="216"/>
      <c r="I355" s="310"/>
      <c r="J355" s="216"/>
      <c r="K355" s="155"/>
      <c r="M355" s="271"/>
    </row>
    <row r="356" spans="3:13" s="154" customFormat="1" ht="12.75" customHeight="1">
      <c r="C356" s="309"/>
      <c r="D356" s="1263"/>
      <c r="E356" s="1263"/>
      <c r="F356" s="1263"/>
      <c r="G356" s="310"/>
      <c r="H356" s="216"/>
      <c r="I356" s="310"/>
      <c r="J356" s="216"/>
      <c r="K356" s="155"/>
      <c r="M356" s="271"/>
    </row>
    <row r="357" spans="3:13" s="154" customFormat="1" ht="12.75" customHeight="1">
      <c r="C357" s="311"/>
      <c r="D357" s="1263"/>
      <c r="E357" s="1263"/>
      <c r="F357" s="1263"/>
      <c r="G357" s="310"/>
      <c r="H357" s="216"/>
      <c r="I357" s="310"/>
      <c r="J357" s="216"/>
      <c r="K357" s="221"/>
      <c r="M357" s="271"/>
    </row>
    <row r="358" spans="3:15" ht="12.75" customHeight="1">
      <c r="C358" s="312"/>
      <c r="D358" s="312"/>
      <c r="E358" s="312"/>
      <c r="F358" s="84"/>
      <c r="G358" s="255"/>
      <c r="H358" s="55"/>
      <c r="I358" s="243"/>
      <c r="J358" s="129"/>
      <c r="K358" s="117"/>
      <c r="O358" s="3"/>
    </row>
    <row r="359" spans="2:15" ht="12.75" customHeight="1">
      <c r="B359" s="1264" t="s">
        <v>114</v>
      </c>
      <c r="C359" s="1265"/>
      <c r="D359" s="1265"/>
      <c r="E359" s="1265"/>
      <c r="F359" s="1265"/>
      <c r="G359" s="1265"/>
      <c r="H359" s="1265"/>
      <c r="I359" s="1265"/>
      <c r="J359" s="130"/>
      <c r="K359" s="117"/>
      <c r="M359" s="118"/>
      <c r="O359" s="3"/>
    </row>
    <row r="360" spans="2:15" ht="39.75" customHeight="1">
      <c r="B360" s="1254" t="s">
        <v>241</v>
      </c>
      <c r="C360" s="1254"/>
      <c r="D360" s="1254"/>
      <c r="E360" s="1254"/>
      <c r="F360" s="1254"/>
      <c r="G360" s="1254"/>
      <c r="H360" s="1254"/>
      <c r="I360" s="1254"/>
      <c r="J360" s="132"/>
      <c r="K360" s="117"/>
      <c r="M360" s="118"/>
      <c r="O360" s="3"/>
    </row>
    <row r="361" spans="2:15" ht="48.75" customHeight="1">
      <c r="B361" s="1254" t="s">
        <v>242</v>
      </c>
      <c r="C361" s="1254"/>
      <c r="D361" s="1254"/>
      <c r="E361" s="1254"/>
      <c r="F361" s="1254"/>
      <c r="G361" s="1254"/>
      <c r="H361" s="1254"/>
      <c r="I361" s="1254"/>
      <c r="J361" s="132"/>
      <c r="K361" s="117"/>
      <c r="M361" s="118"/>
      <c r="O361" s="3"/>
    </row>
    <row r="362" spans="2:15" ht="12.75">
      <c r="B362" s="1254" t="s">
        <v>243</v>
      </c>
      <c r="C362" s="1254"/>
      <c r="D362" s="1254"/>
      <c r="E362" s="1254"/>
      <c r="F362" s="1254"/>
      <c r="G362" s="1254"/>
      <c r="H362" s="1254"/>
      <c r="I362" s="1254"/>
      <c r="J362" s="132"/>
      <c r="K362" s="117"/>
      <c r="M362" s="118"/>
      <c r="O362" s="3"/>
    </row>
    <row r="363" spans="2:15" ht="12.75">
      <c r="B363" s="1254" t="s">
        <v>244</v>
      </c>
      <c r="C363" s="1254"/>
      <c r="D363" s="1254"/>
      <c r="E363" s="1254"/>
      <c r="F363" s="1254"/>
      <c r="G363" s="1254"/>
      <c r="H363" s="1254"/>
      <c r="I363" s="1254"/>
      <c r="J363" s="132"/>
      <c r="K363" s="117"/>
      <c r="M363" s="118"/>
      <c r="O363" s="3"/>
    </row>
    <row r="364" spans="2:15" ht="12.75" customHeight="1">
      <c r="B364" s="196"/>
      <c r="C364" s="197"/>
      <c r="D364" s="197"/>
      <c r="E364" s="197"/>
      <c r="F364" s="197"/>
      <c r="G364" s="197"/>
      <c r="H364" s="197"/>
      <c r="I364" s="198"/>
      <c r="J364" s="132"/>
      <c r="K364" s="117"/>
      <c r="M364" s="118"/>
      <c r="O364" s="3"/>
    </row>
    <row r="365" spans="2:15" ht="12.75" customHeight="1">
      <c r="B365" s="60"/>
      <c r="C365" s="60"/>
      <c r="D365" s="60"/>
      <c r="E365" s="60"/>
      <c r="F365" s="60"/>
      <c r="G365" s="61"/>
      <c r="H365" s="60"/>
      <c r="I365" s="62"/>
      <c r="J365" s="60"/>
      <c r="K365" s="117"/>
      <c r="M365" s="118"/>
      <c r="O365" s="3"/>
    </row>
    <row r="366" spans="2:15" ht="12.75" customHeight="1">
      <c r="B366" s="60"/>
      <c r="C366" s="60"/>
      <c r="D366" s="60"/>
      <c r="E366" s="60"/>
      <c r="F366" s="60"/>
      <c r="G366" s="61"/>
      <c r="H366" s="60"/>
      <c r="I366" s="62"/>
      <c r="J366" s="60"/>
      <c r="K366" s="117"/>
      <c r="M366" s="118"/>
      <c r="O366" s="3"/>
    </row>
    <row r="367" spans="2:15" ht="15" customHeight="1" thickBot="1">
      <c r="B367" s="1255" t="s">
        <v>245</v>
      </c>
      <c r="C367" s="1256"/>
      <c r="D367" s="1256"/>
      <c r="E367" s="1256"/>
      <c r="F367" s="1256"/>
      <c r="G367" s="1256"/>
      <c r="H367" s="1256"/>
      <c r="I367" s="1257"/>
      <c r="O367" s="3"/>
    </row>
    <row r="368" spans="2:20" s="154" customFormat="1" ht="12.75" customHeight="1" thickBot="1">
      <c r="B368" s="313"/>
      <c r="C368" s="313"/>
      <c r="D368" s="313"/>
      <c r="E368" s="313"/>
      <c r="F368" s="313"/>
      <c r="G368" s="314"/>
      <c r="H368" s="313"/>
      <c r="I368" s="315"/>
      <c r="J368" s="216"/>
      <c r="K368" s="155"/>
      <c r="M368" s="271"/>
      <c r="P368" s="316">
        <v>0</v>
      </c>
      <c r="Q368" s="317" t="s">
        <v>246</v>
      </c>
      <c r="R368" s="317" t="s">
        <v>247</v>
      </c>
      <c r="S368" s="317" t="s">
        <v>164</v>
      </c>
      <c r="T368" s="317" t="s">
        <v>109</v>
      </c>
    </row>
    <row r="369" spans="2:20" ht="12.75" customHeight="1">
      <c r="B369" s="123"/>
      <c r="C369" s="1315" t="s">
        <v>85</v>
      </c>
      <c r="D369" s="1315"/>
      <c r="E369" s="212"/>
      <c r="F369" s="115"/>
      <c r="G369" s="255"/>
      <c r="H369" s="115"/>
      <c r="I369" s="243"/>
      <c r="J369" s="88"/>
      <c r="O369" s="3"/>
      <c r="P369" s="318" t="s">
        <v>248</v>
      </c>
      <c r="Q369" s="318">
        <v>15217</v>
      </c>
      <c r="R369" s="318">
        <v>15217</v>
      </c>
      <c r="S369" s="318">
        <v>15217</v>
      </c>
      <c r="T369" s="318">
        <v>34896</v>
      </c>
    </row>
    <row r="370" spans="2:20" ht="12.75" customHeight="1" thickBot="1">
      <c r="B370" s="123"/>
      <c r="C370" s="215"/>
      <c r="D370" s="1258"/>
      <c r="E370" s="1258"/>
      <c r="F370" s="1259"/>
      <c r="G370" s="285"/>
      <c r="H370" s="286"/>
      <c r="I370" s="287"/>
      <c r="J370" s="129"/>
      <c r="K370" s="204" t="s">
        <v>137</v>
      </c>
      <c r="O370" s="3"/>
      <c r="P370" s="300" t="s">
        <v>89</v>
      </c>
      <c r="Q370" s="319">
        <v>8284</v>
      </c>
      <c r="R370" s="319">
        <v>8284</v>
      </c>
      <c r="S370" s="319">
        <v>8284</v>
      </c>
      <c r="T370" s="319">
        <v>73082</v>
      </c>
    </row>
    <row r="371" spans="2:20" ht="12.75" customHeight="1" thickBot="1">
      <c r="B371" s="123"/>
      <c r="C371" s="205"/>
      <c r="D371" s="1260"/>
      <c r="E371" s="1260"/>
      <c r="F371" s="1259"/>
      <c r="G371" s="285"/>
      <c r="H371" s="286"/>
      <c r="I371" s="287"/>
      <c r="J371" s="129"/>
      <c r="K371" s="172"/>
      <c r="O371" s="3"/>
      <c r="P371" s="300" t="s">
        <v>91</v>
      </c>
      <c r="Q371" s="319">
        <v>10781</v>
      </c>
      <c r="R371" s="319">
        <v>10079</v>
      </c>
      <c r="S371" s="319">
        <v>10781</v>
      </c>
      <c r="T371" s="319">
        <v>28985</v>
      </c>
    </row>
    <row r="372" spans="3:20" ht="12.75" customHeight="1">
      <c r="C372" s="1261" t="s">
        <v>164</v>
      </c>
      <c r="D372" s="1261"/>
      <c r="E372" s="212"/>
      <c r="F372" s="115"/>
      <c r="G372" s="255"/>
      <c r="H372" s="55"/>
      <c r="I372" s="243"/>
      <c r="J372" s="129"/>
      <c r="K372" s="288"/>
      <c r="O372" s="3"/>
      <c r="P372" s="300" t="s">
        <v>95</v>
      </c>
      <c r="Q372" s="319">
        <v>1688</v>
      </c>
      <c r="R372" s="319">
        <v>1688</v>
      </c>
      <c r="S372" s="319">
        <v>1688</v>
      </c>
      <c r="T372" s="319">
        <v>3378</v>
      </c>
    </row>
    <row r="373" spans="2:21" ht="12.75" customHeight="1">
      <c r="B373" s="1253" t="s">
        <v>249</v>
      </c>
      <c r="C373" s="1253"/>
      <c r="D373" s="1253"/>
      <c r="E373" s="1253"/>
      <c r="F373" s="1253"/>
      <c r="G373" s="291" t="s">
        <v>250</v>
      </c>
      <c r="H373" s="286"/>
      <c r="I373" s="287">
        <v>81170</v>
      </c>
      <c r="J373" s="129"/>
      <c r="K373" s="288"/>
      <c r="O373" s="3"/>
      <c r="P373" s="300" t="s">
        <v>251</v>
      </c>
      <c r="Q373" s="319">
        <v>0</v>
      </c>
      <c r="R373" s="319">
        <v>0</v>
      </c>
      <c r="S373" s="319">
        <v>0</v>
      </c>
      <c r="T373" s="319">
        <v>17803</v>
      </c>
      <c r="U373" s="3" t="s">
        <v>252</v>
      </c>
    </row>
    <row r="374" spans="2:21" ht="12.75" customHeight="1">
      <c r="B374" s="1253" t="s">
        <v>253</v>
      </c>
      <c r="C374" s="1253"/>
      <c r="D374" s="1253"/>
      <c r="E374" s="1253"/>
      <c r="F374" s="1253"/>
      <c r="G374" s="291" t="s">
        <v>254</v>
      </c>
      <c r="H374" s="286"/>
      <c r="I374" s="287">
        <v>80468</v>
      </c>
      <c r="J374" s="129"/>
      <c r="K374" s="290"/>
      <c r="O374" s="3"/>
      <c r="P374" s="300" t="s">
        <v>255</v>
      </c>
      <c r="Q374" s="319">
        <v>3265</v>
      </c>
      <c r="R374" s="319">
        <v>3265</v>
      </c>
      <c r="S374" s="319">
        <v>3265</v>
      </c>
      <c r="T374" s="319">
        <v>9112</v>
      </c>
      <c r="U374" s="3" t="s">
        <v>252</v>
      </c>
    </row>
    <row r="375" spans="2:20" ht="12.75" customHeight="1">
      <c r="B375" s="1253" t="s">
        <v>256</v>
      </c>
      <c r="C375" s="1253"/>
      <c r="D375" s="1253"/>
      <c r="E375" s="1253"/>
      <c r="F375" s="1253"/>
      <c r="G375" s="291" t="s">
        <v>257</v>
      </c>
      <c r="H375" s="286"/>
      <c r="I375" s="287"/>
      <c r="J375" s="129"/>
      <c r="K375" s="107" t="s">
        <v>99</v>
      </c>
      <c r="O375" s="3"/>
      <c r="P375" s="300" t="s">
        <v>258</v>
      </c>
      <c r="Q375" s="319">
        <v>18203</v>
      </c>
      <c r="R375" s="319">
        <v>18203</v>
      </c>
      <c r="S375" s="319">
        <v>18203</v>
      </c>
      <c r="T375" s="319">
        <v>40866</v>
      </c>
    </row>
    <row r="376" spans="2:20" ht="12.75" customHeight="1" thickBot="1">
      <c r="B376" s="1253" t="s">
        <v>259</v>
      </c>
      <c r="C376" s="1253"/>
      <c r="D376" s="1253"/>
      <c r="E376" s="1253"/>
      <c r="F376" s="1253"/>
      <c r="G376" s="291" t="s">
        <v>260</v>
      </c>
      <c r="H376" s="286"/>
      <c r="I376" s="287">
        <v>4.71</v>
      </c>
      <c r="J376" s="129"/>
      <c r="K376" s="320"/>
      <c r="O376" s="3"/>
      <c r="P376" s="300" t="s">
        <v>113</v>
      </c>
      <c r="Q376" s="319">
        <v>679</v>
      </c>
      <c r="R376" s="319">
        <v>679</v>
      </c>
      <c r="S376" s="319">
        <v>679</v>
      </c>
      <c r="T376" s="319">
        <v>2571</v>
      </c>
    </row>
    <row r="377" spans="2:20" ht="12.75" customHeight="1" thickBot="1">
      <c r="B377" s="1253" t="s">
        <v>261</v>
      </c>
      <c r="C377" s="1253"/>
      <c r="D377" s="1253"/>
      <c r="E377" s="1253"/>
      <c r="F377" s="1253"/>
      <c r="G377" s="291" t="s">
        <v>257</v>
      </c>
      <c r="H377" s="286"/>
      <c r="I377" s="287"/>
      <c r="J377" s="129"/>
      <c r="K377" s="172">
        <f>+'Table 3a'!BT94</f>
        <v>6066955.166666667</v>
      </c>
      <c r="O377" s="3"/>
      <c r="P377" s="300" t="s">
        <v>262</v>
      </c>
      <c r="Q377" s="319">
        <v>7434</v>
      </c>
      <c r="R377" s="319">
        <v>7434</v>
      </c>
      <c r="S377" s="319">
        <v>7434</v>
      </c>
      <c r="T377" s="319">
        <v>7434</v>
      </c>
    </row>
    <row r="378" spans="3:20" ht="12.75" customHeight="1">
      <c r="C378" s="1262" t="s">
        <v>109</v>
      </c>
      <c r="D378" s="1262"/>
      <c r="E378" s="241"/>
      <c r="F378" s="205"/>
      <c r="G378" s="298"/>
      <c r="H378" s="55"/>
      <c r="I378" s="299"/>
      <c r="J378" s="129"/>
      <c r="K378" s="288"/>
      <c r="O378" s="3"/>
      <c r="P378" s="300" t="s">
        <v>263</v>
      </c>
      <c r="Q378" s="319">
        <v>560</v>
      </c>
      <c r="R378" s="319">
        <v>560</v>
      </c>
      <c r="S378" s="319">
        <v>560</v>
      </c>
      <c r="T378" s="319">
        <v>2816</v>
      </c>
    </row>
    <row r="379" spans="2:20" ht="12.75" customHeight="1">
      <c r="B379" s="1253" t="s">
        <v>264</v>
      </c>
      <c r="C379" s="1253"/>
      <c r="D379" s="1253"/>
      <c r="E379" s="1253"/>
      <c r="F379" s="1253"/>
      <c r="G379" s="291" t="s">
        <v>109</v>
      </c>
      <c r="H379" s="286"/>
      <c r="I379" s="287">
        <f>+'Table 3a'!BO16</f>
        <v>223235</v>
      </c>
      <c r="J379" s="129"/>
      <c r="K379" s="288"/>
      <c r="O379" s="3"/>
      <c r="P379" s="300" t="s">
        <v>265</v>
      </c>
      <c r="Q379" s="319">
        <v>371</v>
      </c>
      <c r="R379" s="319">
        <v>371</v>
      </c>
      <c r="S379" s="319">
        <v>371</v>
      </c>
      <c r="T379" s="319">
        <v>1772</v>
      </c>
    </row>
    <row r="380" spans="2:20" ht="12.75" customHeight="1" thickBot="1">
      <c r="B380" s="1253" t="s">
        <v>266</v>
      </c>
      <c r="C380" s="1253"/>
      <c r="D380" s="1253"/>
      <c r="E380" s="1253"/>
      <c r="F380" s="1253"/>
      <c r="G380" s="291" t="s">
        <v>260</v>
      </c>
      <c r="H380" s="286"/>
      <c r="I380" s="287">
        <v>7.28</v>
      </c>
      <c r="J380" s="129"/>
      <c r="K380" s="204" t="s">
        <v>102</v>
      </c>
      <c r="O380" s="3"/>
      <c r="P380" s="300" t="s">
        <v>267</v>
      </c>
      <c r="Q380" s="319">
        <v>1947</v>
      </c>
      <c r="R380" s="319">
        <v>1947</v>
      </c>
      <c r="S380" s="319">
        <v>1947</v>
      </c>
      <c r="T380" s="319">
        <v>424</v>
      </c>
    </row>
    <row r="381" spans="2:20" ht="12.75" customHeight="1" thickBot="1">
      <c r="B381" s="1253" t="s">
        <v>259</v>
      </c>
      <c r="C381" s="1253"/>
      <c r="D381" s="1253"/>
      <c r="E381" s="1253"/>
      <c r="F381" s="1253"/>
      <c r="G381" s="291" t="s">
        <v>260</v>
      </c>
      <c r="H381" s="286"/>
      <c r="I381" s="287">
        <v>4.71</v>
      </c>
      <c r="J381" s="129"/>
      <c r="K381" s="321"/>
      <c r="O381" s="3"/>
      <c r="P381" s="300" t="s">
        <v>117</v>
      </c>
      <c r="Q381" s="319">
        <v>1801</v>
      </c>
      <c r="R381" s="319">
        <v>1801</v>
      </c>
      <c r="S381" s="319">
        <v>1801</v>
      </c>
      <c r="T381" s="319">
        <v>3273</v>
      </c>
    </row>
    <row r="382" spans="2:20" ht="12.75" customHeight="1" thickBot="1">
      <c r="B382" s="1253" t="s">
        <v>261</v>
      </c>
      <c r="C382" s="1253"/>
      <c r="D382" s="1253"/>
      <c r="E382" s="1253"/>
      <c r="F382" s="1253"/>
      <c r="G382" s="291" t="s">
        <v>257</v>
      </c>
      <c r="H382" s="286"/>
      <c r="I382" s="287"/>
      <c r="J382" s="129"/>
      <c r="K382" s="172">
        <f>+'Table 3a'!BT119</f>
        <v>3160417</v>
      </c>
      <c r="O382" s="3"/>
      <c r="P382" s="300" t="s">
        <v>125</v>
      </c>
      <c r="Q382" s="319">
        <v>8390</v>
      </c>
      <c r="R382" s="319">
        <v>8390</v>
      </c>
      <c r="S382" s="319">
        <v>8390</v>
      </c>
      <c r="T382" s="319">
        <v>13374</v>
      </c>
    </row>
    <row r="383" spans="3:20" s="154" customFormat="1" ht="12.75" customHeight="1">
      <c r="C383" s="309"/>
      <c r="D383" s="1263"/>
      <c r="E383" s="1263"/>
      <c r="F383" s="1263"/>
      <c r="G383" s="310"/>
      <c r="H383" s="216"/>
      <c r="I383" s="310"/>
      <c r="J383" s="216"/>
      <c r="K383" s="155"/>
      <c r="M383" s="271"/>
      <c r="P383" s="300" t="s">
        <v>268</v>
      </c>
      <c r="Q383" s="319">
        <v>3063</v>
      </c>
      <c r="R383" s="319">
        <v>3063</v>
      </c>
      <c r="S383" s="319">
        <v>3063</v>
      </c>
      <c r="T383" s="319">
        <v>3063</v>
      </c>
    </row>
    <row r="384" spans="2:20" ht="12.75" customHeight="1" thickBot="1">
      <c r="B384" s="1264" t="s">
        <v>114</v>
      </c>
      <c r="C384" s="1265"/>
      <c r="D384" s="1265"/>
      <c r="E384" s="1265"/>
      <c r="F384" s="1265"/>
      <c r="G384" s="1265"/>
      <c r="H384" s="1265"/>
      <c r="I384" s="1265"/>
      <c r="J384" s="130"/>
      <c r="K384" s="117"/>
      <c r="M384" s="118"/>
      <c r="O384" s="3"/>
      <c r="P384" s="300" t="s">
        <v>269</v>
      </c>
      <c r="Q384" s="319">
        <v>2752</v>
      </c>
      <c r="R384" s="319">
        <v>2752</v>
      </c>
      <c r="S384" s="319">
        <v>2752</v>
      </c>
      <c r="T384" s="319">
        <v>7301</v>
      </c>
    </row>
    <row r="385" spans="2:20" ht="48.75" customHeight="1" thickBot="1">
      <c r="B385" s="1250" t="s">
        <v>270</v>
      </c>
      <c r="C385" s="1251"/>
      <c r="D385" s="1251"/>
      <c r="E385" s="1251"/>
      <c r="F385" s="1251"/>
      <c r="G385" s="1251"/>
      <c r="H385" s="1251"/>
      <c r="I385" s="1252"/>
      <c r="J385" s="132"/>
      <c r="K385" s="117"/>
      <c r="M385" s="118"/>
      <c r="O385" s="3"/>
      <c r="P385" s="292" t="s">
        <v>240</v>
      </c>
      <c r="Q385" s="292">
        <v>84435</v>
      </c>
      <c r="R385" s="292">
        <v>83733</v>
      </c>
      <c r="S385" s="292">
        <v>84435</v>
      </c>
      <c r="T385" s="292">
        <v>250150</v>
      </c>
    </row>
    <row r="386" spans="2:15" ht="57.75" customHeight="1">
      <c r="B386" s="1250" t="s">
        <v>271</v>
      </c>
      <c r="C386" s="1251"/>
      <c r="D386" s="1251"/>
      <c r="E386" s="1251"/>
      <c r="F386" s="1251"/>
      <c r="G386" s="1251"/>
      <c r="H386" s="1251"/>
      <c r="I386" s="1252"/>
      <c r="J386" s="132"/>
      <c r="K386" s="117"/>
      <c r="M386" s="118"/>
      <c r="O386" s="3"/>
    </row>
    <row r="387" spans="2:15" ht="55.5" customHeight="1">
      <c r="B387" s="1250" t="s">
        <v>272</v>
      </c>
      <c r="C387" s="1251"/>
      <c r="D387" s="1251"/>
      <c r="E387" s="1251"/>
      <c r="F387" s="1251"/>
      <c r="G387" s="1251"/>
      <c r="H387" s="1251"/>
      <c r="I387" s="1252"/>
      <c r="J387" s="132"/>
      <c r="K387" s="117"/>
      <c r="M387" s="118"/>
      <c r="O387" s="3"/>
    </row>
    <row r="388" spans="2:15" ht="54" customHeight="1">
      <c r="B388" s="1250" t="s">
        <v>273</v>
      </c>
      <c r="C388" s="1251"/>
      <c r="D388" s="1251"/>
      <c r="E388" s="1251"/>
      <c r="F388" s="1251"/>
      <c r="G388" s="1251"/>
      <c r="H388" s="1251"/>
      <c r="I388" s="1252"/>
      <c r="J388" s="132"/>
      <c r="K388" s="117"/>
      <c r="M388" s="118"/>
      <c r="O388" s="3"/>
    </row>
    <row r="389" spans="2:15" ht="62.25" customHeight="1">
      <c r="B389" s="1249" t="s">
        <v>274</v>
      </c>
      <c r="C389" s="1249"/>
      <c r="D389" s="1249"/>
      <c r="E389" s="1249"/>
      <c r="F389" s="1249"/>
      <c r="G389" s="1249"/>
      <c r="H389" s="1249"/>
      <c r="I389" s="1249"/>
      <c r="J389" s="132"/>
      <c r="K389" s="117"/>
      <c r="M389" s="118"/>
      <c r="O389" s="3"/>
    </row>
    <row r="390" spans="2:15" ht="12.75" customHeight="1" thickBot="1">
      <c r="B390" s="60"/>
      <c r="C390" s="60"/>
      <c r="D390" s="60"/>
      <c r="E390" s="60"/>
      <c r="F390" s="60"/>
      <c r="G390" s="61"/>
      <c r="H390" s="60"/>
      <c r="I390" s="62"/>
      <c r="J390" s="60"/>
      <c r="K390" s="117"/>
      <c r="M390" s="118"/>
      <c r="O390" s="3"/>
    </row>
    <row r="391" spans="2:15" ht="15.75" thickBot="1">
      <c r="B391" s="1390" t="s">
        <v>275</v>
      </c>
      <c r="C391" s="1391"/>
      <c r="D391" s="1391"/>
      <c r="E391" s="1391"/>
      <c r="F391" s="1391"/>
      <c r="G391" s="1391"/>
      <c r="H391" s="1391"/>
      <c r="I391" s="1392"/>
      <c r="K391" s="63"/>
      <c r="O391" s="3"/>
    </row>
    <row r="392" spans="2:15" ht="15">
      <c r="B392" s="322"/>
      <c r="C392" s="322"/>
      <c r="D392" s="322"/>
      <c r="E392" s="322"/>
      <c r="F392" s="322"/>
      <c r="G392" s="323"/>
      <c r="H392" s="322"/>
      <c r="I392" s="324"/>
      <c r="K392" s="63"/>
      <c r="O392" s="3"/>
    </row>
    <row r="393" spans="2:15" ht="12.75" customHeight="1">
      <c r="B393" s="60"/>
      <c r="C393" s="60"/>
      <c r="D393" s="60"/>
      <c r="E393" s="60"/>
      <c r="F393" s="60"/>
      <c r="G393" s="61"/>
      <c r="H393" s="60"/>
      <c r="I393" s="62"/>
      <c r="J393" s="60"/>
      <c r="K393" s="117"/>
      <c r="M393" s="118"/>
      <c r="O393" s="3"/>
    </row>
    <row r="394" spans="2:15" ht="12.75" customHeight="1">
      <c r="B394" s="1393" t="s">
        <v>276</v>
      </c>
      <c r="C394" s="1394"/>
      <c r="D394" s="1394"/>
      <c r="E394" s="1394"/>
      <c r="F394" s="1394"/>
      <c r="G394" s="1394"/>
      <c r="H394" s="1394"/>
      <c r="I394" s="1395"/>
      <c r="K394" s="63"/>
      <c r="O394" s="3"/>
    </row>
    <row r="395" spans="3:15" ht="12.75" customHeight="1" thickBot="1">
      <c r="C395" s="5"/>
      <c r="D395" s="5"/>
      <c r="E395" s="5"/>
      <c r="K395" s="204" t="s">
        <v>137</v>
      </c>
      <c r="O395" s="3"/>
    </row>
    <row r="396" spans="11:15" ht="12.75" customHeight="1" thickBot="1">
      <c r="K396" s="172"/>
      <c r="O396" s="3"/>
    </row>
    <row r="397" spans="11:15" ht="12.75" customHeight="1" thickBot="1">
      <c r="K397" s="107" t="s">
        <v>99</v>
      </c>
      <c r="O397" s="3"/>
    </row>
    <row r="398" spans="11:15" ht="12.75" customHeight="1" thickBot="1">
      <c r="K398" s="172"/>
      <c r="O398" s="3"/>
    </row>
    <row r="399" spans="2:15" ht="12.75" customHeight="1" thickBot="1">
      <c r="B399" s="52"/>
      <c r="C399" s="1315"/>
      <c r="D399" s="1315"/>
      <c r="E399" s="1315"/>
      <c r="F399" s="1316"/>
      <c r="G399" s="1316"/>
      <c r="H399" s="1316"/>
      <c r="I399" s="1316"/>
      <c r="K399" s="280" t="s">
        <v>102</v>
      </c>
      <c r="O399" s="3"/>
    </row>
    <row r="400" spans="2:15" ht="12.75" customHeight="1" thickBot="1">
      <c r="B400" s="52"/>
      <c r="C400" s="1284"/>
      <c r="D400" s="1284"/>
      <c r="E400" s="1284"/>
      <c r="F400" s="1284"/>
      <c r="G400" s="1284"/>
      <c r="H400" s="1284"/>
      <c r="I400" s="1284"/>
      <c r="K400" s="172"/>
      <c r="O400" s="3"/>
    </row>
    <row r="401" spans="2:15" ht="12.75" customHeight="1">
      <c r="B401" s="256"/>
      <c r="C401" s="325"/>
      <c r="D401" s="325"/>
      <c r="E401" s="325"/>
      <c r="F401" s="325"/>
      <c r="G401" s="326"/>
      <c r="H401" s="325"/>
      <c r="I401" s="327"/>
      <c r="J401" s="15"/>
      <c r="K401" s="117"/>
      <c r="L401" s="15"/>
      <c r="M401" s="328"/>
      <c r="N401" s="15"/>
      <c r="O401" s="3"/>
    </row>
    <row r="402" spans="2:15" ht="12.75" customHeight="1">
      <c r="B402" s="1264" t="s">
        <v>114</v>
      </c>
      <c r="C402" s="1265"/>
      <c r="D402" s="1265"/>
      <c r="E402" s="1265"/>
      <c r="F402" s="1265"/>
      <c r="G402" s="1265"/>
      <c r="H402" s="1265"/>
      <c r="I402" s="1265"/>
      <c r="J402" s="130"/>
      <c r="K402" s="117"/>
      <c r="M402" s="118"/>
      <c r="O402" s="3"/>
    </row>
    <row r="403" spans="2:15" ht="12.75" customHeight="1">
      <c r="B403" s="193"/>
      <c r="C403" s="194"/>
      <c r="D403" s="194"/>
      <c r="E403" s="194"/>
      <c r="F403" s="194"/>
      <c r="G403" s="194"/>
      <c r="H403" s="194"/>
      <c r="I403" s="195"/>
      <c r="J403" s="132"/>
      <c r="K403" s="117"/>
      <c r="M403" s="118"/>
      <c r="O403" s="3"/>
    </row>
    <row r="404" spans="2:15" ht="12.75" customHeight="1">
      <c r="B404" s="196"/>
      <c r="C404" s="197"/>
      <c r="D404" s="197"/>
      <c r="E404" s="197"/>
      <c r="F404" s="197"/>
      <c r="G404" s="197"/>
      <c r="H404" s="197"/>
      <c r="I404" s="198"/>
      <c r="J404" s="132"/>
      <c r="K404" s="117"/>
      <c r="M404" s="118"/>
      <c r="O404" s="3"/>
    </row>
    <row r="405" spans="2:15" ht="12.75" customHeight="1">
      <c r="B405" s="60"/>
      <c r="C405" s="60"/>
      <c r="D405" s="60"/>
      <c r="E405" s="60"/>
      <c r="F405" s="60"/>
      <c r="G405" s="61"/>
      <c r="H405" s="60"/>
      <c r="I405" s="62"/>
      <c r="J405" s="60"/>
      <c r="K405" s="117"/>
      <c r="M405" s="118"/>
      <c r="O405" s="3"/>
    </row>
    <row r="406" spans="2:15" ht="27" customHeight="1">
      <c r="B406" s="1365" t="s">
        <v>277</v>
      </c>
      <c r="C406" s="1366"/>
      <c r="D406" s="1366"/>
      <c r="E406" s="1366"/>
      <c r="F406" s="1366"/>
      <c r="G406" s="1366"/>
      <c r="H406" s="1366"/>
      <c r="I406" s="1367"/>
      <c r="J406" s="152"/>
      <c r="K406" s="290"/>
      <c r="O406" s="3"/>
    </row>
    <row r="407" spans="2:15" ht="12.75" customHeight="1">
      <c r="B407" s="329"/>
      <c r="C407" s="1386"/>
      <c r="D407" s="1386"/>
      <c r="E407" s="1386"/>
      <c r="F407" s="1386"/>
      <c r="G407" s="1386"/>
      <c r="H407" s="1386"/>
      <c r="I407" s="1386"/>
      <c r="K407" s="290"/>
      <c r="O407" s="3"/>
    </row>
    <row r="408" spans="2:15" ht="12.75" customHeight="1" thickBot="1">
      <c r="B408" s="52"/>
      <c r="C408" s="1364"/>
      <c r="D408" s="1364"/>
      <c r="E408" s="1364"/>
      <c r="F408" s="1364"/>
      <c r="G408" s="1364"/>
      <c r="H408" s="1364"/>
      <c r="I408" s="1364"/>
      <c r="K408" s="204" t="s">
        <v>102</v>
      </c>
      <c r="O408" s="3"/>
    </row>
    <row r="409" spans="2:15" ht="12.75" customHeight="1" thickBot="1">
      <c r="B409" s="330"/>
      <c r="C409" s="1389"/>
      <c r="D409" s="1389"/>
      <c r="E409" s="1389"/>
      <c r="F409" s="1389"/>
      <c r="G409" s="1389"/>
      <c r="H409" s="1389"/>
      <c r="I409" s="1389"/>
      <c r="K409" s="281">
        <f>+'Table 3a'!BV119</f>
        <v>-470366</v>
      </c>
      <c r="O409" s="3"/>
    </row>
    <row r="410" spans="2:15" ht="12.75" customHeight="1">
      <c r="B410" s="1264" t="s">
        <v>114</v>
      </c>
      <c r="C410" s="1265"/>
      <c r="D410" s="1265"/>
      <c r="E410" s="1265"/>
      <c r="F410" s="1265"/>
      <c r="G410" s="1265"/>
      <c r="H410" s="1265"/>
      <c r="I410" s="1265"/>
      <c r="J410" s="130"/>
      <c r="K410" s="117"/>
      <c r="M410" s="118"/>
      <c r="O410" s="3"/>
    </row>
    <row r="411" spans="2:15" ht="30" customHeight="1">
      <c r="B411" s="1254" t="s">
        <v>278</v>
      </c>
      <c r="C411" s="1254"/>
      <c r="D411" s="1254"/>
      <c r="E411" s="1254"/>
      <c r="F411" s="1254"/>
      <c r="G411" s="1254"/>
      <c r="H411" s="1254"/>
      <c r="I411" s="1254"/>
      <c r="J411" s="132"/>
      <c r="K411" s="117"/>
      <c r="M411" s="118"/>
      <c r="O411" s="3"/>
    </row>
    <row r="412" spans="2:15" ht="32.25" customHeight="1">
      <c r="B412" s="1254" t="s">
        <v>279</v>
      </c>
      <c r="C412" s="1254"/>
      <c r="D412" s="1254"/>
      <c r="E412" s="1254"/>
      <c r="F412" s="1254"/>
      <c r="G412" s="1254"/>
      <c r="H412" s="1254"/>
      <c r="I412" s="1254"/>
      <c r="J412" s="132"/>
      <c r="K412" s="117"/>
      <c r="M412" s="118"/>
      <c r="O412" s="3"/>
    </row>
    <row r="413" spans="2:15" ht="24.75" customHeight="1">
      <c r="B413" s="1254" t="s">
        <v>280</v>
      </c>
      <c r="C413" s="1254"/>
      <c r="D413" s="1254"/>
      <c r="E413" s="1254"/>
      <c r="F413" s="1254"/>
      <c r="G413" s="1254"/>
      <c r="H413" s="1254"/>
      <c r="I413" s="1254"/>
      <c r="J413" s="132"/>
      <c r="K413" s="117"/>
      <c r="M413" s="118"/>
      <c r="O413" s="3"/>
    </row>
    <row r="414" spans="2:15" ht="27.75" customHeight="1">
      <c r="B414" s="1254" t="s">
        <v>281</v>
      </c>
      <c r="C414" s="1254"/>
      <c r="D414" s="1254"/>
      <c r="E414" s="1254"/>
      <c r="F414" s="1254"/>
      <c r="G414" s="1254"/>
      <c r="H414" s="1254"/>
      <c r="I414" s="1254"/>
      <c r="J414" s="132"/>
      <c r="K414" s="117"/>
      <c r="M414" s="118"/>
      <c r="O414" s="3"/>
    </row>
    <row r="415" spans="2:15" ht="17.25" customHeight="1">
      <c r="B415" s="196"/>
      <c r="C415" s="197"/>
      <c r="D415" s="197"/>
      <c r="E415" s="197"/>
      <c r="F415" s="197"/>
      <c r="G415" s="197"/>
      <c r="H415" s="197"/>
      <c r="I415" s="198"/>
      <c r="J415" s="132"/>
      <c r="K415" s="117"/>
      <c r="M415" s="118"/>
      <c r="O415" s="3"/>
    </row>
    <row r="416" spans="2:15" ht="12.75">
      <c r="B416" s="60"/>
      <c r="C416" s="60"/>
      <c r="D416" s="60"/>
      <c r="E416" s="60"/>
      <c r="F416" s="60"/>
      <c r="G416" s="61"/>
      <c r="H416" s="60"/>
      <c r="I416" s="62"/>
      <c r="J416" s="60"/>
      <c r="K416" s="117"/>
      <c r="M416" s="118"/>
      <c r="O416" s="3"/>
    </row>
    <row r="417" spans="2:15" ht="12.75">
      <c r="B417" s="60"/>
      <c r="C417" s="60"/>
      <c r="D417" s="60"/>
      <c r="E417" s="60"/>
      <c r="F417" s="60"/>
      <c r="G417" s="61"/>
      <c r="H417" s="60"/>
      <c r="I417" s="62"/>
      <c r="J417" s="60"/>
      <c r="K417" s="117"/>
      <c r="M417" s="118"/>
      <c r="O417" s="3"/>
    </row>
    <row r="418" spans="2:15" ht="15" customHeight="1">
      <c r="B418" s="60"/>
      <c r="C418" s="60"/>
      <c r="D418" s="60"/>
      <c r="E418" s="60"/>
      <c r="F418" s="60"/>
      <c r="G418" s="61"/>
      <c r="H418" s="60"/>
      <c r="I418" s="62"/>
      <c r="J418" s="60"/>
      <c r="K418" s="117"/>
      <c r="M418" s="118"/>
      <c r="O418" s="3"/>
    </row>
    <row r="419" spans="2:15" ht="12.75">
      <c r="B419" s="1393" t="s">
        <v>282</v>
      </c>
      <c r="C419" s="1394"/>
      <c r="D419" s="1394"/>
      <c r="E419" s="1394"/>
      <c r="F419" s="1394"/>
      <c r="G419" s="1394"/>
      <c r="H419" s="1394"/>
      <c r="I419" s="1395"/>
      <c r="K419" s="290"/>
      <c r="O419" s="3"/>
    </row>
    <row r="420" spans="3:15" ht="15.75" thickBot="1">
      <c r="C420" s="5"/>
      <c r="D420" s="5"/>
      <c r="E420" s="5"/>
      <c r="K420" s="204" t="s">
        <v>137</v>
      </c>
      <c r="O420" s="3"/>
    </row>
    <row r="421" spans="11:15" ht="13.5" thickBot="1">
      <c r="K421" s="172"/>
      <c r="O421" s="3"/>
    </row>
    <row r="422" spans="11:15" ht="13.5" thickBot="1">
      <c r="K422" s="331" t="s">
        <v>99</v>
      </c>
      <c r="O422" s="3"/>
    </row>
    <row r="423" spans="11:15" ht="15" customHeight="1" thickBot="1">
      <c r="K423" s="172">
        <f>+'Table 3a'!BX94</f>
        <v>59824</v>
      </c>
      <c r="O423" s="3"/>
    </row>
    <row r="424" spans="2:15" ht="13.5" thickBot="1">
      <c r="B424" s="52"/>
      <c r="C424" s="1315"/>
      <c r="D424" s="1315"/>
      <c r="E424" s="1315"/>
      <c r="F424" s="1316"/>
      <c r="G424" s="1316"/>
      <c r="H424" s="1316"/>
      <c r="I424" s="1316"/>
      <c r="K424" s="111" t="s">
        <v>102</v>
      </c>
      <c r="O424" s="3"/>
    </row>
    <row r="425" spans="2:15" ht="15.75" thickBot="1">
      <c r="B425" s="52"/>
      <c r="C425" s="1284"/>
      <c r="D425" s="1284"/>
      <c r="E425" s="1284"/>
      <c r="F425" s="1284"/>
      <c r="G425" s="1284"/>
      <c r="H425" s="1284"/>
      <c r="I425" s="1284"/>
      <c r="K425" s="172">
        <f>+'Table 3a'!BX119</f>
        <v>0</v>
      </c>
      <c r="O425" s="3"/>
    </row>
    <row r="426" spans="2:15" ht="15">
      <c r="B426" s="322"/>
      <c r="C426" s="322"/>
      <c r="D426" s="322"/>
      <c r="E426" s="322"/>
      <c r="F426" s="322"/>
      <c r="G426" s="323"/>
      <c r="H426" s="322"/>
      <c r="I426" s="324"/>
      <c r="K426" s="332"/>
      <c r="O426" s="3"/>
    </row>
    <row r="427" spans="2:15" ht="12.75">
      <c r="B427" s="1264" t="s">
        <v>114</v>
      </c>
      <c r="C427" s="1265"/>
      <c r="D427" s="1265"/>
      <c r="E427" s="1265"/>
      <c r="F427" s="1265"/>
      <c r="G427" s="1265"/>
      <c r="H427" s="1265"/>
      <c r="I427" s="1265"/>
      <c r="J427" s="130"/>
      <c r="K427" s="117"/>
      <c r="M427" s="118"/>
      <c r="O427" s="3"/>
    </row>
    <row r="428" spans="2:15" ht="12.75">
      <c r="B428" s="1383" t="s">
        <v>283</v>
      </c>
      <c r="C428" s="1384"/>
      <c r="D428" s="1384"/>
      <c r="E428" s="1384"/>
      <c r="F428" s="1384"/>
      <c r="G428" s="1384"/>
      <c r="H428" s="1384"/>
      <c r="I428" s="1385"/>
      <c r="J428" s="132"/>
      <c r="K428" s="117"/>
      <c r="M428" s="118"/>
      <c r="O428" s="3"/>
    </row>
    <row r="429" spans="2:15" ht="12.75" customHeight="1">
      <c r="B429" s="196"/>
      <c r="C429" s="197"/>
      <c r="D429" s="197"/>
      <c r="E429" s="197"/>
      <c r="F429" s="197"/>
      <c r="G429" s="197"/>
      <c r="H429" s="197"/>
      <c r="I429" s="198"/>
      <c r="J429" s="132"/>
      <c r="K429" s="117"/>
      <c r="M429" s="118"/>
      <c r="O429" s="3"/>
    </row>
    <row r="430" spans="2:15" ht="12.75">
      <c r="B430" s="199"/>
      <c r="C430" s="175"/>
      <c r="D430" s="175"/>
      <c r="E430" s="175"/>
      <c r="F430" s="175"/>
      <c r="G430" s="200"/>
      <c r="H430" s="175"/>
      <c r="I430" s="201"/>
      <c r="J430" s="60"/>
      <c r="K430" s="117"/>
      <c r="M430" s="118"/>
      <c r="O430" s="3"/>
    </row>
    <row r="431" spans="2:15" ht="12.75" customHeight="1">
      <c r="B431" s="1396" t="s">
        <v>284</v>
      </c>
      <c r="C431" s="1397"/>
      <c r="D431" s="1397"/>
      <c r="E431" s="1397"/>
      <c r="F431" s="1397"/>
      <c r="G431" s="1397"/>
      <c r="H431" s="1397"/>
      <c r="I431" s="1398"/>
      <c r="K431" s="288"/>
      <c r="M431" s="118"/>
      <c r="O431" s="3"/>
    </row>
    <row r="432" spans="2:15" ht="12.75" customHeight="1" thickBot="1">
      <c r="B432" s="333"/>
      <c r="C432" s="334"/>
      <c r="D432" s="334"/>
      <c r="E432" s="334"/>
      <c r="F432" s="334"/>
      <c r="G432" s="334"/>
      <c r="H432" s="334"/>
      <c r="I432" s="334"/>
      <c r="J432" s="52"/>
      <c r="K432" s="204" t="s">
        <v>137</v>
      </c>
      <c r="M432" s="118"/>
      <c r="O432" s="3"/>
    </row>
    <row r="433" spans="2:15" ht="12.75" customHeight="1" thickBot="1">
      <c r="B433" s="335"/>
      <c r="C433" s="336"/>
      <c r="D433" s="336"/>
      <c r="E433" s="336"/>
      <c r="F433" s="336"/>
      <c r="G433" s="336"/>
      <c r="H433" s="336"/>
      <c r="I433" s="336"/>
      <c r="J433" s="52"/>
      <c r="K433" s="172"/>
      <c r="M433" s="118"/>
      <c r="O433" s="3"/>
    </row>
    <row r="434" spans="2:15" ht="12.75" customHeight="1" thickBot="1">
      <c r="B434" s="335"/>
      <c r="C434" s="336"/>
      <c r="D434" s="336"/>
      <c r="E434" s="336"/>
      <c r="F434" s="336"/>
      <c r="G434" s="337"/>
      <c r="H434" s="336"/>
      <c r="I434" s="338"/>
      <c r="K434" s="107" t="s">
        <v>99</v>
      </c>
      <c r="M434" s="118"/>
      <c r="O434" s="3"/>
    </row>
    <row r="435" spans="2:15" ht="12.75" customHeight="1" thickBot="1">
      <c r="B435" s="52"/>
      <c r="C435" s="1315"/>
      <c r="D435" s="1315"/>
      <c r="E435" s="1315"/>
      <c r="F435" s="1315"/>
      <c r="G435" s="1315"/>
      <c r="H435" s="1315"/>
      <c r="I435" s="1315"/>
      <c r="K435" s="172">
        <f>+K423+K377+K348+K317+K288+K262+K243+K195+K165+K66+K30+K82</f>
        <v>57397086.86</v>
      </c>
      <c r="M435" s="118">
        <f>+K435-'Table 3a'!BY94</f>
        <v>0</v>
      </c>
      <c r="O435" s="3"/>
    </row>
    <row r="436" spans="2:15" ht="12.75" customHeight="1" thickBot="1">
      <c r="B436" s="52"/>
      <c r="C436" s="1364" t="s">
        <v>138</v>
      </c>
      <c r="D436" s="1364"/>
      <c r="E436" s="1364"/>
      <c r="F436" s="1364"/>
      <c r="G436" s="1364"/>
      <c r="H436" s="1364"/>
      <c r="I436" s="1364"/>
      <c r="K436" s="111" t="s">
        <v>102</v>
      </c>
      <c r="M436" s="118"/>
      <c r="O436" s="3"/>
    </row>
    <row r="437" spans="2:15" ht="12.75" customHeight="1" thickBot="1">
      <c r="B437" s="330"/>
      <c r="C437" s="1389"/>
      <c r="D437" s="1389"/>
      <c r="E437" s="1389"/>
      <c r="F437" s="1389"/>
      <c r="G437" s="1389"/>
      <c r="H437" s="1389"/>
      <c r="I437" s="1389"/>
      <c r="K437" s="172">
        <f>+K425+K409+K382+K353+K324+K295+K267+K248+K200+K169+K130+K37</f>
        <v>57605803.89</v>
      </c>
      <c r="M437" s="118">
        <f>+K437-'Table 3a'!BY119</f>
        <v>0</v>
      </c>
      <c r="O437" s="3"/>
    </row>
    <row r="438" spans="2:15" ht="12.75" customHeight="1">
      <c r="B438" s="1264" t="s">
        <v>114</v>
      </c>
      <c r="C438" s="1265"/>
      <c r="D438" s="1265"/>
      <c r="E438" s="1265"/>
      <c r="F438" s="1265"/>
      <c r="G438" s="1265"/>
      <c r="H438" s="1265"/>
      <c r="I438" s="1265"/>
      <c r="J438" s="130"/>
      <c r="K438" s="117"/>
      <c r="M438" s="118"/>
      <c r="O438" s="3"/>
    </row>
    <row r="439" spans="2:15" ht="12.75" customHeight="1">
      <c r="B439" s="193"/>
      <c r="C439" s="194"/>
      <c r="D439" s="194"/>
      <c r="E439" s="194"/>
      <c r="F439" s="194"/>
      <c r="G439" s="194"/>
      <c r="H439" s="194"/>
      <c r="I439" s="195"/>
      <c r="J439" s="132"/>
      <c r="K439" s="117"/>
      <c r="M439" s="118"/>
      <c r="O439" s="3"/>
    </row>
    <row r="440" spans="2:15" ht="12.75" customHeight="1">
      <c r="B440" s="258"/>
      <c r="C440" s="259"/>
      <c r="D440" s="259"/>
      <c r="E440" s="259"/>
      <c r="F440" s="259"/>
      <c r="G440" s="259"/>
      <c r="H440" s="259"/>
      <c r="I440" s="260"/>
      <c r="J440" s="132"/>
      <c r="K440" s="117"/>
      <c r="M440" s="118"/>
      <c r="O440" s="3"/>
    </row>
    <row r="441" spans="2:15" ht="12.75" customHeight="1">
      <c r="B441" s="258"/>
      <c r="C441" s="259"/>
      <c r="D441" s="259"/>
      <c r="E441" s="259"/>
      <c r="F441" s="259"/>
      <c r="G441" s="259"/>
      <c r="H441" s="259"/>
      <c r="I441" s="260"/>
      <c r="J441" s="132"/>
      <c r="K441" s="117"/>
      <c r="M441" s="118"/>
      <c r="O441" s="3"/>
    </row>
    <row r="442" spans="2:15" ht="12.75" customHeight="1">
      <c r="B442" s="258"/>
      <c r="C442" s="259"/>
      <c r="D442" s="259"/>
      <c r="E442" s="259"/>
      <c r="F442" s="259"/>
      <c r="G442" s="259"/>
      <c r="H442" s="259"/>
      <c r="I442" s="260"/>
      <c r="J442" s="132"/>
      <c r="K442" s="117"/>
      <c r="M442" s="118"/>
      <c r="O442" s="3"/>
    </row>
    <row r="443" spans="2:15" ht="12.75" customHeight="1">
      <c r="B443" s="196"/>
      <c r="C443" s="197"/>
      <c r="D443" s="197"/>
      <c r="E443" s="197"/>
      <c r="F443" s="197"/>
      <c r="G443" s="197"/>
      <c r="H443" s="197"/>
      <c r="I443" s="198"/>
      <c r="J443" s="132"/>
      <c r="K443" s="117"/>
      <c r="M443" s="118"/>
      <c r="O443" s="3"/>
    </row>
    <row r="444" spans="2:15" ht="12.75" customHeight="1">
      <c r="B444" s="60"/>
      <c r="C444" s="60"/>
      <c r="D444" s="60"/>
      <c r="E444" s="60"/>
      <c r="F444" s="60"/>
      <c r="G444" s="61"/>
      <c r="H444" s="60"/>
      <c r="I444" s="62"/>
      <c r="J444" s="60"/>
      <c r="K444" s="117"/>
      <c r="M444" s="118"/>
      <c r="O444" s="3"/>
    </row>
    <row r="445" spans="2:15" ht="12.75" customHeight="1" thickBot="1">
      <c r="B445" s="52"/>
      <c r="C445" s="205"/>
      <c r="D445" s="205"/>
      <c r="E445" s="205"/>
      <c r="F445" s="205"/>
      <c r="G445" s="206"/>
      <c r="H445" s="205"/>
      <c r="I445" s="207"/>
      <c r="K445" s="117"/>
      <c r="O445" s="3"/>
    </row>
    <row r="446" spans="2:27" ht="15" customHeight="1" thickBot="1">
      <c r="B446" s="1382" t="s">
        <v>285</v>
      </c>
      <c r="C446" s="1380"/>
      <c r="D446" s="1380"/>
      <c r="E446" s="1380"/>
      <c r="F446" s="1380"/>
      <c r="G446" s="1380"/>
      <c r="H446" s="1380"/>
      <c r="I446" s="1381"/>
      <c r="O446" s="3"/>
      <c r="P446" s="1306" t="s">
        <v>286</v>
      </c>
      <c r="Q446" s="1307"/>
      <c r="R446" s="1307"/>
      <c r="S446" s="1307"/>
      <c r="T446" s="1307"/>
      <c r="U446" s="1307"/>
      <c r="V446" s="1307"/>
      <c r="W446" s="1307"/>
      <c r="X446" s="1307"/>
      <c r="Y446" s="1307"/>
      <c r="Z446" s="1307"/>
      <c r="AA446" s="1308"/>
    </row>
    <row r="447" spans="2:27" ht="12.75" customHeight="1" thickBot="1">
      <c r="B447" s="168"/>
      <c r="C447" s="283"/>
      <c r="D447" s="283"/>
      <c r="E447" s="283"/>
      <c r="F447" s="283"/>
      <c r="G447" s="284"/>
      <c r="H447" s="88"/>
      <c r="O447" s="3"/>
      <c r="P447" s="339" t="s">
        <v>287</v>
      </c>
      <c r="Q447" s="340" t="s">
        <v>288</v>
      </c>
      <c r="R447" s="341" t="s">
        <v>289</v>
      </c>
      <c r="S447" s="341" t="s">
        <v>290</v>
      </c>
      <c r="T447" s="341" t="s">
        <v>291</v>
      </c>
      <c r="U447" s="341" t="s">
        <v>292</v>
      </c>
      <c r="V447" s="341" t="s">
        <v>293</v>
      </c>
      <c r="W447" s="341" t="s">
        <v>294</v>
      </c>
      <c r="X447" s="341" t="s">
        <v>295</v>
      </c>
      <c r="Y447" s="341" t="s">
        <v>296</v>
      </c>
      <c r="Z447" s="341" t="s">
        <v>297</v>
      </c>
      <c r="AA447" s="342" t="s">
        <v>298</v>
      </c>
    </row>
    <row r="448" spans="2:27" ht="12.75" customHeight="1">
      <c r="B448" s="1277" t="s">
        <v>299</v>
      </c>
      <c r="C448" s="1278"/>
      <c r="D448" s="1278"/>
      <c r="E448" s="1278"/>
      <c r="F448" s="1278"/>
      <c r="G448" s="1278"/>
      <c r="H448" s="1278"/>
      <c r="I448" s="1279"/>
      <c r="J448" s="115"/>
      <c r="O448" s="3"/>
      <c r="P448" s="343" t="s">
        <v>300</v>
      </c>
      <c r="Q448" s="344">
        <v>3703.5</v>
      </c>
      <c r="R448" s="344">
        <v>3703.5</v>
      </c>
      <c r="S448" s="344">
        <v>4814.55</v>
      </c>
      <c r="T448" s="344">
        <v>4814.55</v>
      </c>
      <c r="U448" s="344">
        <v>8592.12</v>
      </c>
      <c r="V448" s="344">
        <v>4814.55</v>
      </c>
      <c r="W448" s="344">
        <v>6666.3</v>
      </c>
      <c r="X448" s="344">
        <v>6666.3</v>
      </c>
      <c r="Y448" s="344">
        <v>7407</v>
      </c>
      <c r="Z448" s="345">
        <v>7407</v>
      </c>
      <c r="AA448" s="346">
        <v>2429310.825</v>
      </c>
    </row>
    <row r="449" spans="2:27" ht="12.75" customHeight="1">
      <c r="B449" s="123"/>
      <c r="C449" s="123"/>
      <c r="D449" s="123"/>
      <c r="E449" s="123"/>
      <c r="F449" s="123"/>
      <c r="G449" s="347"/>
      <c r="H449" s="123"/>
      <c r="I449" s="348"/>
      <c r="J449" s="115"/>
      <c r="O449" s="3"/>
      <c r="P449" s="349" t="s">
        <v>301</v>
      </c>
      <c r="Q449" s="350">
        <v>248.5</v>
      </c>
      <c r="R449" s="350">
        <v>248.5</v>
      </c>
      <c r="S449" s="350">
        <v>248.5</v>
      </c>
      <c r="T449" s="350">
        <v>248.5</v>
      </c>
      <c r="U449" s="350">
        <v>248.5</v>
      </c>
      <c r="V449" s="350">
        <v>248.5</v>
      </c>
      <c r="W449" s="350">
        <v>248.5</v>
      </c>
      <c r="X449" s="350">
        <v>248.5</v>
      </c>
      <c r="Y449" s="350">
        <v>248.5</v>
      </c>
      <c r="Z449" s="351">
        <v>248.5</v>
      </c>
      <c r="AA449" s="352">
        <v>109153.625</v>
      </c>
    </row>
    <row r="450" spans="3:27" ht="34.5" customHeight="1">
      <c r="C450" s="83"/>
      <c r="D450" s="179"/>
      <c r="E450" s="179"/>
      <c r="F450" s="353" t="s">
        <v>302</v>
      </c>
      <c r="G450" s="354"/>
      <c r="H450" s="86"/>
      <c r="I450" s="355"/>
      <c r="J450" s="88"/>
      <c r="O450" s="3"/>
      <c r="P450" s="349" t="s">
        <v>303</v>
      </c>
      <c r="Q450" s="356">
        <v>81.74</v>
      </c>
      <c r="R450" s="356">
        <v>81.66</v>
      </c>
      <c r="S450" s="356">
        <v>104.16</v>
      </c>
      <c r="T450" s="356">
        <v>104.16</v>
      </c>
      <c r="U450" s="356">
        <v>179.57</v>
      </c>
      <c r="V450" s="356">
        <v>104.16</v>
      </c>
      <c r="W450" s="356">
        <v>141.53</v>
      </c>
      <c r="X450" s="356">
        <v>141.41</v>
      </c>
      <c r="Y450" s="356">
        <v>156.89</v>
      </c>
      <c r="Z450" s="357">
        <v>156.91</v>
      </c>
      <c r="AA450" s="352">
        <v>52073.9714</v>
      </c>
    </row>
    <row r="451" spans="3:27" ht="12.75" customHeight="1">
      <c r="C451" s="83"/>
      <c r="D451" s="179"/>
      <c r="E451" s="179"/>
      <c r="F451" s="358">
        <v>53.83</v>
      </c>
      <c r="G451" s="354" t="s">
        <v>288</v>
      </c>
      <c r="H451" s="86"/>
      <c r="I451" s="355">
        <v>7938.56</v>
      </c>
      <c r="J451" s="88"/>
      <c r="O451" s="3"/>
      <c r="P451" s="349" t="s">
        <v>304</v>
      </c>
      <c r="Q451" s="356">
        <v>488.82</v>
      </c>
      <c r="R451" s="356">
        <v>488.82</v>
      </c>
      <c r="S451" s="356">
        <v>635.48</v>
      </c>
      <c r="T451" s="356">
        <v>635.48</v>
      </c>
      <c r="U451" s="356">
        <v>979.67</v>
      </c>
      <c r="V451" s="356">
        <v>635.48</v>
      </c>
      <c r="W451" s="356">
        <v>879.88</v>
      </c>
      <c r="X451" s="356">
        <v>879.88</v>
      </c>
      <c r="Y451" s="356">
        <v>977.65</v>
      </c>
      <c r="Z451" s="357">
        <v>977.65</v>
      </c>
      <c r="AA451" s="352">
        <v>312924.58499999996</v>
      </c>
    </row>
    <row r="452" spans="3:27" ht="12.75" customHeight="1">
      <c r="C452" s="83"/>
      <c r="D452" s="179"/>
      <c r="E452" s="179"/>
      <c r="F452" s="358">
        <v>79.42</v>
      </c>
      <c r="G452" s="354" t="s">
        <v>289</v>
      </c>
      <c r="H452" s="86"/>
      <c r="I452" s="355">
        <v>6867.6</v>
      </c>
      <c r="J452" s="88"/>
      <c r="O452" s="3"/>
      <c r="P452" s="349" t="s">
        <v>305</v>
      </c>
      <c r="Q452" s="356">
        <v>66.49</v>
      </c>
      <c r="R452" s="356">
        <v>66.49</v>
      </c>
      <c r="S452" s="356">
        <v>66.49</v>
      </c>
      <c r="T452" s="356">
        <v>66.49</v>
      </c>
      <c r="U452" s="356">
        <v>66.49</v>
      </c>
      <c r="V452" s="356">
        <v>66.49</v>
      </c>
      <c r="W452" s="356">
        <v>66.49</v>
      </c>
      <c r="X452" s="356">
        <v>66.49</v>
      </c>
      <c r="Y452" s="356">
        <v>66.49</v>
      </c>
      <c r="Z452" s="357">
        <v>66.49</v>
      </c>
      <c r="AA452" s="352">
        <v>29205.732500000002</v>
      </c>
    </row>
    <row r="453" spans="3:27" ht="12.75" customHeight="1">
      <c r="C453" s="83"/>
      <c r="D453" s="179"/>
      <c r="E453" s="179"/>
      <c r="F453" s="358">
        <v>22</v>
      </c>
      <c r="G453" s="354" t="s">
        <v>290</v>
      </c>
      <c r="H453" s="86"/>
      <c r="I453" s="355">
        <v>10039.89</v>
      </c>
      <c r="J453" s="88"/>
      <c r="O453" s="3"/>
      <c r="P453" s="349" t="s">
        <v>306</v>
      </c>
      <c r="Q453" s="356">
        <v>0</v>
      </c>
      <c r="R453" s="356">
        <v>0</v>
      </c>
      <c r="S453" s="356">
        <v>0</v>
      </c>
      <c r="T453" s="356">
        <v>0</v>
      </c>
      <c r="U453" s="356">
        <v>0</v>
      </c>
      <c r="V453" s="356">
        <v>0</v>
      </c>
      <c r="W453" s="356">
        <v>0</v>
      </c>
      <c r="X453" s="356">
        <v>0</v>
      </c>
      <c r="Y453" s="356">
        <v>0</v>
      </c>
      <c r="Z453" s="357">
        <v>0</v>
      </c>
      <c r="AA453" s="352">
        <v>0</v>
      </c>
    </row>
    <row r="454" spans="3:27" ht="12.75" customHeight="1">
      <c r="C454" s="83"/>
      <c r="D454" s="179"/>
      <c r="E454" s="179"/>
      <c r="F454" s="358">
        <v>84</v>
      </c>
      <c r="G454" s="354" t="s">
        <v>291</v>
      </c>
      <c r="H454" s="86"/>
      <c r="I454" s="355">
        <v>9995.21</v>
      </c>
      <c r="J454" s="88"/>
      <c r="O454" s="3"/>
      <c r="P454" s="349" t="s">
        <v>307</v>
      </c>
      <c r="Q454" s="356">
        <v>0</v>
      </c>
      <c r="R454" s="356">
        <v>0</v>
      </c>
      <c r="S454" s="356">
        <v>0</v>
      </c>
      <c r="T454" s="356">
        <v>0</v>
      </c>
      <c r="U454" s="356">
        <v>0</v>
      </c>
      <c r="V454" s="356">
        <v>0</v>
      </c>
      <c r="W454" s="356">
        <v>0</v>
      </c>
      <c r="X454" s="356">
        <v>0</v>
      </c>
      <c r="Y454" s="356">
        <v>0</v>
      </c>
      <c r="Z454" s="357">
        <v>0</v>
      </c>
      <c r="AA454" s="352">
        <v>0</v>
      </c>
    </row>
    <row r="455" spans="3:27" ht="12.75" customHeight="1">
      <c r="C455" s="83"/>
      <c r="D455" s="179"/>
      <c r="E455" s="179"/>
      <c r="F455" s="358">
        <v>50</v>
      </c>
      <c r="G455" s="354" t="s">
        <v>292</v>
      </c>
      <c r="H455" s="86"/>
      <c r="I455" s="355">
        <v>17901.94</v>
      </c>
      <c r="J455" s="88"/>
      <c r="O455" s="3"/>
      <c r="P455" s="349" t="s">
        <v>308</v>
      </c>
      <c r="Q455" s="356">
        <v>0</v>
      </c>
      <c r="R455" s="356">
        <v>0</v>
      </c>
      <c r="S455" s="356">
        <v>0</v>
      </c>
      <c r="T455" s="356">
        <v>0</v>
      </c>
      <c r="U455" s="356">
        <v>0</v>
      </c>
      <c r="V455" s="356">
        <v>0</v>
      </c>
      <c r="W455" s="356">
        <v>0</v>
      </c>
      <c r="X455" s="356">
        <v>0</v>
      </c>
      <c r="Y455" s="356">
        <v>0</v>
      </c>
      <c r="Z455" s="357">
        <v>0</v>
      </c>
      <c r="AA455" s="352">
        <v>0</v>
      </c>
    </row>
    <row r="456" spans="3:27" ht="12.75" customHeight="1">
      <c r="C456" s="83"/>
      <c r="D456" s="179"/>
      <c r="E456" s="179"/>
      <c r="F456" s="358">
        <v>27</v>
      </c>
      <c r="G456" s="354" t="s">
        <v>293</v>
      </c>
      <c r="H456" s="86"/>
      <c r="I456" s="355">
        <v>28725.55</v>
      </c>
      <c r="J456" s="88"/>
      <c r="O456" s="3"/>
      <c r="P456" s="349" t="s">
        <v>309</v>
      </c>
      <c r="Q456" s="356">
        <v>0</v>
      </c>
      <c r="R456" s="356">
        <v>0</v>
      </c>
      <c r="S456" s="356">
        <v>0</v>
      </c>
      <c r="T456" s="356">
        <v>0</v>
      </c>
      <c r="U456" s="356">
        <v>0</v>
      </c>
      <c r="V456" s="356">
        <v>0</v>
      </c>
      <c r="W456" s="356">
        <v>0</v>
      </c>
      <c r="X456" s="356">
        <v>0</v>
      </c>
      <c r="Y456" s="356">
        <v>0</v>
      </c>
      <c r="Z456" s="357">
        <v>0</v>
      </c>
      <c r="AA456" s="352">
        <v>0</v>
      </c>
    </row>
    <row r="457" spans="3:27" ht="12.75" customHeight="1">
      <c r="C457" s="83"/>
      <c r="D457" s="179"/>
      <c r="E457" s="179"/>
      <c r="F457" s="358">
        <v>23</v>
      </c>
      <c r="G457" s="354" t="s">
        <v>294</v>
      </c>
      <c r="H457" s="86"/>
      <c r="I457" s="355">
        <v>13737.5</v>
      </c>
      <c r="J457" s="88"/>
      <c r="O457" s="3"/>
      <c r="P457" s="349" t="s">
        <v>91</v>
      </c>
      <c r="Q457" s="356">
        <v>195.77</v>
      </c>
      <c r="R457" s="356">
        <v>191.26</v>
      </c>
      <c r="S457" s="356">
        <v>217.15</v>
      </c>
      <c r="T457" s="356">
        <v>217.15</v>
      </c>
      <c r="U457" s="356">
        <v>250.04</v>
      </c>
      <c r="V457" s="356">
        <v>217.15</v>
      </c>
      <c r="W457" s="356">
        <v>254.35</v>
      </c>
      <c r="X457" s="356">
        <v>247.61</v>
      </c>
      <c r="Y457" s="356">
        <v>289.26</v>
      </c>
      <c r="Z457" s="357">
        <v>290.4</v>
      </c>
      <c r="AA457" s="352">
        <v>100346.64830000002</v>
      </c>
    </row>
    <row r="458" spans="3:27" ht="12.75" customHeight="1">
      <c r="C458" s="83"/>
      <c r="D458" s="179"/>
      <c r="E458" s="179"/>
      <c r="F458" s="358">
        <v>38</v>
      </c>
      <c r="G458" s="354" t="s">
        <v>295</v>
      </c>
      <c r="H458" s="86"/>
      <c r="I458" s="355">
        <v>11971.76</v>
      </c>
      <c r="J458" s="88"/>
      <c r="O458" s="3"/>
      <c r="P458" s="349" t="s">
        <v>310</v>
      </c>
      <c r="Q458" s="356">
        <v>26.03</v>
      </c>
      <c r="R458" s="356">
        <v>14.54</v>
      </c>
      <c r="S458" s="356">
        <v>32.91</v>
      </c>
      <c r="T458" s="356">
        <v>32.91</v>
      </c>
      <c r="U458" s="356">
        <v>43.23</v>
      </c>
      <c r="V458" s="356">
        <v>253.13</v>
      </c>
      <c r="W458" s="356">
        <v>44.38</v>
      </c>
      <c r="X458" s="356">
        <v>26.03</v>
      </c>
      <c r="Y458" s="356">
        <v>71.91</v>
      </c>
      <c r="Z458" s="357">
        <v>71.91</v>
      </c>
      <c r="AA458" s="352">
        <v>21508.731699999997</v>
      </c>
    </row>
    <row r="459" spans="3:27" ht="12.75" customHeight="1" thickBot="1">
      <c r="C459" s="83"/>
      <c r="D459" s="179"/>
      <c r="E459" s="179"/>
      <c r="F459" s="358">
        <v>25</v>
      </c>
      <c r="G459" s="354" t="s">
        <v>296</v>
      </c>
      <c r="H459" s="86"/>
      <c r="I459" s="355">
        <v>18524.29</v>
      </c>
      <c r="J459" s="88"/>
      <c r="K459" s="107" t="s">
        <v>311</v>
      </c>
      <c r="O459" s="3"/>
      <c r="P459" s="349" t="s">
        <v>312</v>
      </c>
      <c r="Q459" s="356">
        <v>2127.6</v>
      </c>
      <c r="R459" s="356">
        <v>1063.8</v>
      </c>
      <c r="S459" s="356">
        <v>2765.88</v>
      </c>
      <c r="T459" s="356">
        <v>2765.88</v>
      </c>
      <c r="U459" s="356">
        <v>6382.8</v>
      </c>
      <c r="V459" s="356">
        <v>21276</v>
      </c>
      <c r="W459" s="356">
        <v>3829.68</v>
      </c>
      <c r="X459" s="356">
        <v>2127.6</v>
      </c>
      <c r="Y459" s="356">
        <v>6382.8</v>
      </c>
      <c r="Z459" s="357">
        <v>6382.8</v>
      </c>
      <c r="AA459" s="352">
        <v>1950456.0240000002</v>
      </c>
    </row>
    <row r="460" spans="3:27" ht="12.75" customHeight="1" thickBot="1">
      <c r="C460" s="312"/>
      <c r="D460" s="179"/>
      <c r="E460" s="179"/>
      <c r="F460" s="358">
        <v>37</v>
      </c>
      <c r="G460" s="354" t="s">
        <v>297</v>
      </c>
      <c r="H460" s="86"/>
      <c r="I460" s="355">
        <v>18475.7</v>
      </c>
      <c r="J460" s="88"/>
      <c r="K460" s="172">
        <f>+'Table 3b'!O24</f>
        <v>5621517.0768</v>
      </c>
      <c r="O460" s="3"/>
      <c r="P460" s="349" t="s">
        <v>313</v>
      </c>
      <c r="Q460" s="356">
        <v>285.52</v>
      </c>
      <c r="R460" s="356">
        <v>285.52</v>
      </c>
      <c r="S460" s="356">
        <v>285.52</v>
      </c>
      <c r="T460" s="356">
        <v>285.52</v>
      </c>
      <c r="U460" s="356">
        <v>285.52</v>
      </c>
      <c r="V460" s="356">
        <v>285.52</v>
      </c>
      <c r="W460" s="356">
        <v>285.52</v>
      </c>
      <c r="X460" s="356">
        <v>285.52</v>
      </c>
      <c r="Y460" s="356">
        <v>285.52</v>
      </c>
      <c r="Z460" s="357">
        <v>285.52</v>
      </c>
      <c r="AA460" s="352">
        <v>125414.66</v>
      </c>
    </row>
    <row r="461" spans="3:27" ht="12.75" customHeight="1">
      <c r="C461" s="312"/>
      <c r="D461" s="312"/>
      <c r="E461" s="312"/>
      <c r="F461" s="84"/>
      <c r="G461" s="255"/>
      <c r="H461" s="55"/>
      <c r="I461" s="243"/>
      <c r="J461" s="129"/>
      <c r="K461" s="117"/>
      <c r="O461" s="3"/>
      <c r="P461" s="349" t="s">
        <v>314</v>
      </c>
      <c r="Q461" s="356">
        <v>134.98</v>
      </c>
      <c r="R461" s="356">
        <v>134.98</v>
      </c>
      <c r="S461" s="356">
        <v>219.33</v>
      </c>
      <c r="T461" s="356">
        <v>219.33</v>
      </c>
      <c r="U461" s="356">
        <v>134.98</v>
      </c>
      <c r="V461" s="356">
        <v>219.33</v>
      </c>
      <c r="W461" s="356">
        <v>506.14</v>
      </c>
      <c r="X461" s="356">
        <v>506.14</v>
      </c>
      <c r="Y461" s="356">
        <v>1687.16</v>
      </c>
      <c r="Z461" s="357">
        <v>1687.16</v>
      </c>
      <c r="AA461" s="352">
        <v>189384.43500000003</v>
      </c>
    </row>
    <row r="462" spans="2:27" ht="12.75" customHeight="1">
      <c r="B462" s="1264" t="s">
        <v>114</v>
      </c>
      <c r="C462" s="1265"/>
      <c r="D462" s="1265"/>
      <c r="E462" s="1265"/>
      <c r="F462" s="1265"/>
      <c r="G462" s="1265"/>
      <c r="H462" s="1265"/>
      <c r="I462" s="1265"/>
      <c r="J462" s="130"/>
      <c r="K462" s="117"/>
      <c r="M462" s="118"/>
      <c r="O462" s="3"/>
      <c r="P462" s="349" t="s">
        <v>315</v>
      </c>
      <c r="Q462" s="356">
        <v>62</v>
      </c>
      <c r="R462" s="356">
        <v>89.35</v>
      </c>
      <c r="S462" s="356">
        <v>72.94</v>
      </c>
      <c r="T462" s="356">
        <v>89.35</v>
      </c>
      <c r="U462" s="356">
        <v>89.35</v>
      </c>
      <c r="V462" s="356">
        <v>89.35</v>
      </c>
      <c r="W462" s="356">
        <v>89.35</v>
      </c>
      <c r="X462" s="356">
        <v>100.29</v>
      </c>
      <c r="Y462" s="356">
        <v>89.35</v>
      </c>
      <c r="Z462" s="357">
        <v>100.29</v>
      </c>
      <c r="AA462" s="352">
        <v>38234.217</v>
      </c>
    </row>
    <row r="463" spans="2:27" ht="59.25" customHeight="1">
      <c r="B463" s="1383" t="s">
        <v>316</v>
      </c>
      <c r="C463" s="1384"/>
      <c r="D463" s="1384"/>
      <c r="E463" s="1384"/>
      <c r="F463" s="1384"/>
      <c r="G463" s="1384"/>
      <c r="H463" s="1384"/>
      <c r="I463" s="1385"/>
      <c r="J463" s="132"/>
      <c r="K463" s="117"/>
      <c r="M463" s="118"/>
      <c r="O463" s="3"/>
      <c r="P463" s="349" t="s">
        <v>317</v>
      </c>
      <c r="Q463" s="356">
        <v>9.91</v>
      </c>
      <c r="R463" s="356">
        <v>9.91</v>
      </c>
      <c r="S463" s="356">
        <v>12.89</v>
      </c>
      <c r="T463" s="356">
        <v>12.89</v>
      </c>
      <c r="U463" s="356">
        <v>9.91</v>
      </c>
      <c r="V463" s="356">
        <v>12.89</v>
      </c>
      <c r="W463" s="356">
        <v>17.86</v>
      </c>
      <c r="X463" s="356">
        <v>17.86</v>
      </c>
      <c r="Y463" s="356">
        <v>19.85</v>
      </c>
      <c r="Z463" s="357">
        <v>19.85</v>
      </c>
      <c r="AA463" s="352">
        <v>5850.5375</v>
      </c>
    </row>
    <row r="464" spans="2:27" ht="12.75" customHeight="1">
      <c r="B464" s="196"/>
      <c r="C464" s="197"/>
      <c r="D464" s="197"/>
      <c r="E464" s="197"/>
      <c r="F464" s="197"/>
      <c r="G464" s="197"/>
      <c r="H464" s="197"/>
      <c r="I464" s="198"/>
      <c r="J464" s="132"/>
      <c r="K464" s="117"/>
      <c r="M464" s="118"/>
      <c r="O464" s="3"/>
      <c r="P464" s="349" t="s">
        <v>113</v>
      </c>
      <c r="Q464" s="356">
        <v>34.87</v>
      </c>
      <c r="R464" s="356">
        <v>29.96</v>
      </c>
      <c r="S464" s="356">
        <v>39.36</v>
      </c>
      <c r="T464" s="356">
        <v>31.14</v>
      </c>
      <c r="U464" s="356">
        <v>29.96</v>
      </c>
      <c r="V464" s="356">
        <v>31.14</v>
      </c>
      <c r="W464" s="356">
        <v>57.9</v>
      </c>
      <c r="X464" s="356">
        <v>53</v>
      </c>
      <c r="Y464" s="356">
        <v>64.18</v>
      </c>
      <c r="Z464" s="357">
        <v>64.18</v>
      </c>
      <c r="AA464" s="352">
        <v>17401.7953</v>
      </c>
    </row>
    <row r="465" spans="3:27" ht="12.75" customHeight="1">
      <c r="C465" s="88"/>
      <c r="D465" s="88"/>
      <c r="E465" s="88"/>
      <c r="F465" s="88"/>
      <c r="J465" s="88"/>
      <c r="O465" s="3"/>
      <c r="P465" s="349" t="s">
        <v>112</v>
      </c>
      <c r="Q465" s="356">
        <v>39.43</v>
      </c>
      <c r="R465" s="356">
        <v>39.43</v>
      </c>
      <c r="S465" s="356">
        <v>47.32</v>
      </c>
      <c r="T465" s="356">
        <v>47.32</v>
      </c>
      <c r="U465" s="356">
        <v>39.43</v>
      </c>
      <c r="V465" s="356">
        <v>47.32</v>
      </c>
      <c r="W465" s="356">
        <v>74.92</v>
      </c>
      <c r="X465" s="356">
        <v>74.92</v>
      </c>
      <c r="Y465" s="356">
        <v>98.59</v>
      </c>
      <c r="Z465" s="357">
        <v>98.59</v>
      </c>
      <c r="AA465" s="352">
        <v>24201.807500000003</v>
      </c>
    </row>
    <row r="466" spans="2:27" ht="12.75" customHeight="1">
      <c r="B466" s="1277" t="s">
        <v>318</v>
      </c>
      <c r="C466" s="1278"/>
      <c r="D466" s="1278"/>
      <c r="E466" s="1278"/>
      <c r="F466" s="1278"/>
      <c r="G466" s="1278"/>
      <c r="H466" s="1278"/>
      <c r="I466" s="1279"/>
      <c r="J466" s="88"/>
      <c r="K466" s="63"/>
      <c r="O466" s="3"/>
      <c r="P466" s="349" t="s">
        <v>115</v>
      </c>
      <c r="Q466" s="356">
        <v>18.51</v>
      </c>
      <c r="R466" s="356">
        <v>18.51</v>
      </c>
      <c r="S466" s="356">
        <v>18.51</v>
      </c>
      <c r="T466" s="356">
        <v>18.51</v>
      </c>
      <c r="U466" s="356">
        <v>18.51</v>
      </c>
      <c r="V466" s="356">
        <v>18.51</v>
      </c>
      <c r="W466" s="356">
        <v>18.51</v>
      </c>
      <c r="X466" s="356">
        <v>18.51</v>
      </c>
      <c r="Y466" s="356">
        <v>18.51</v>
      </c>
      <c r="Z466" s="357">
        <v>18.51</v>
      </c>
      <c r="AA466" s="352">
        <v>8130.517500000002</v>
      </c>
    </row>
    <row r="467" spans="2:27" ht="12.75" customHeight="1">
      <c r="B467" s="359"/>
      <c r="C467" s="359"/>
      <c r="D467" s="359"/>
      <c r="E467" s="359"/>
      <c r="F467" s="359"/>
      <c r="G467" s="360"/>
      <c r="H467" s="359"/>
      <c r="I467" s="361"/>
      <c r="J467" s="115"/>
      <c r="K467" s="63"/>
      <c r="O467" s="3"/>
      <c r="P467" s="349" t="s">
        <v>105</v>
      </c>
      <c r="Q467" s="356">
        <v>104.23</v>
      </c>
      <c r="R467" s="356">
        <v>152.25</v>
      </c>
      <c r="S467" s="356">
        <v>107.66</v>
      </c>
      <c r="T467" s="356">
        <v>155.67</v>
      </c>
      <c r="U467" s="356">
        <v>152.25</v>
      </c>
      <c r="V467" s="356">
        <v>155.67</v>
      </c>
      <c r="W467" s="356">
        <v>111.06</v>
      </c>
      <c r="X467" s="356">
        <v>155.31</v>
      </c>
      <c r="Y467" s="356">
        <v>114.47</v>
      </c>
      <c r="Z467" s="357">
        <v>158.71</v>
      </c>
      <c r="AA467" s="352">
        <v>62152.965899999996</v>
      </c>
    </row>
    <row r="468" spans="3:27" ht="12.75" customHeight="1">
      <c r="C468" s="215"/>
      <c r="D468" s="1313"/>
      <c r="E468" s="1313"/>
      <c r="F468" s="1313"/>
      <c r="G468" s="362"/>
      <c r="H468" s="86"/>
      <c r="I468" s="355"/>
      <c r="J468" s="88"/>
      <c r="O468" s="3"/>
      <c r="P468" s="349" t="s">
        <v>319</v>
      </c>
      <c r="Q468" s="356">
        <v>3.5</v>
      </c>
      <c r="R468" s="356">
        <v>0.15</v>
      </c>
      <c r="S468" s="356">
        <v>5.26</v>
      </c>
      <c r="T468" s="356">
        <v>0.35</v>
      </c>
      <c r="U468" s="356">
        <v>0</v>
      </c>
      <c r="V468" s="356">
        <v>0.35</v>
      </c>
      <c r="W468" s="356">
        <v>8.76</v>
      </c>
      <c r="X468" s="356">
        <v>5.26</v>
      </c>
      <c r="Y468" s="356">
        <v>14.01</v>
      </c>
      <c r="Z468" s="357">
        <v>5.26</v>
      </c>
      <c r="AA468" s="352">
        <v>1301.118</v>
      </c>
    </row>
    <row r="469" spans="3:27" ht="12.75" customHeight="1" thickBot="1">
      <c r="C469" s="215"/>
      <c r="D469" s="1313"/>
      <c r="E469" s="1313"/>
      <c r="F469" s="1313"/>
      <c r="G469" s="362"/>
      <c r="H469" s="86"/>
      <c r="I469" s="355"/>
      <c r="J469" s="88"/>
      <c r="K469" s="107" t="s">
        <v>311</v>
      </c>
      <c r="O469" s="3"/>
      <c r="P469" s="349" t="s">
        <v>320</v>
      </c>
      <c r="Q469" s="356">
        <v>0</v>
      </c>
      <c r="R469" s="356">
        <v>55.82</v>
      </c>
      <c r="S469" s="356">
        <v>0</v>
      </c>
      <c r="T469" s="356">
        <v>0</v>
      </c>
      <c r="U469" s="356">
        <v>143.45</v>
      </c>
      <c r="V469" s="356">
        <v>0</v>
      </c>
      <c r="W469" s="356">
        <v>0</v>
      </c>
      <c r="X469" s="356">
        <v>0</v>
      </c>
      <c r="Y469" s="356">
        <v>0</v>
      </c>
      <c r="Z469" s="357">
        <v>0</v>
      </c>
      <c r="AA469" s="352">
        <v>11605.7244</v>
      </c>
    </row>
    <row r="470" spans="3:27" ht="12.75" customHeight="1" thickBot="1">
      <c r="C470" s="215"/>
      <c r="D470" s="1313"/>
      <c r="E470" s="1313"/>
      <c r="F470" s="1313"/>
      <c r="G470" s="362"/>
      <c r="H470" s="86"/>
      <c r="I470" s="355"/>
      <c r="J470" s="88"/>
      <c r="K470" s="363"/>
      <c r="O470" s="3"/>
      <c r="P470" s="349" t="s">
        <v>321</v>
      </c>
      <c r="Q470" s="356">
        <v>11.8</v>
      </c>
      <c r="R470" s="356">
        <v>12.92</v>
      </c>
      <c r="S470" s="356">
        <v>12.48</v>
      </c>
      <c r="T470" s="356">
        <v>13.59</v>
      </c>
      <c r="U470" s="356">
        <v>12.92</v>
      </c>
      <c r="V470" s="356">
        <v>13.59</v>
      </c>
      <c r="W470" s="356">
        <v>16.53</v>
      </c>
      <c r="X470" s="356">
        <v>18.78</v>
      </c>
      <c r="Y470" s="356">
        <v>17.88</v>
      </c>
      <c r="Z470" s="357">
        <v>18.78</v>
      </c>
      <c r="AA470" s="352">
        <v>6326.0404</v>
      </c>
    </row>
    <row r="471" spans="3:27" ht="12.75" customHeight="1">
      <c r="C471" s="215"/>
      <c r="D471" s="215"/>
      <c r="E471" s="215"/>
      <c r="F471" s="312"/>
      <c r="G471" s="364"/>
      <c r="H471" s="55"/>
      <c r="I471" s="243"/>
      <c r="J471" s="129"/>
      <c r="K471" s="117"/>
      <c r="L471" s="15"/>
      <c r="O471" s="3"/>
      <c r="P471" s="349" t="s">
        <v>322</v>
      </c>
      <c r="Q471" s="356">
        <v>23.98</v>
      </c>
      <c r="R471" s="356">
        <v>23.98</v>
      </c>
      <c r="S471" s="356">
        <v>23.98</v>
      </c>
      <c r="T471" s="356">
        <v>23.98</v>
      </c>
      <c r="U471" s="356">
        <v>23.98</v>
      </c>
      <c r="V471" s="356">
        <v>23.98</v>
      </c>
      <c r="W471" s="356">
        <v>23.98</v>
      </c>
      <c r="X471" s="356">
        <v>23.98</v>
      </c>
      <c r="Y471" s="356">
        <v>23.98</v>
      </c>
      <c r="Z471" s="357">
        <v>23.98</v>
      </c>
      <c r="AA471" s="352">
        <v>10533.215</v>
      </c>
    </row>
    <row r="472" spans="2:27" ht="12.75" customHeight="1">
      <c r="B472" s="1264" t="s">
        <v>114</v>
      </c>
      <c r="C472" s="1265"/>
      <c r="D472" s="1265"/>
      <c r="E472" s="1265"/>
      <c r="F472" s="1265"/>
      <c r="G472" s="1265"/>
      <c r="H472" s="1265"/>
      <c r="I472" s="1265"/>
      <c r="J472" s="130"/>
      <c r="K472" s="117"/>
      <c r="M472" s="118"/>
      <c r="O472" s="3"/>
      <c r="P472" s="349" t="s">
        <v>323</v>
      </c>
      <c r="Q472" s="356">
        <v>4.76</v>
      </c>
      <c r="R472" s="356">
        <v>4.76</v>
      </c>
      <c r="S472" s="356">
        <v>4.76</v>
      </c>
      <c r="T472" s="356">
        <v>4.76</v>
      </c>
      <c r="U472" s="356">
        <v>4.76</v>
      </c>
      <c r="V472" s="356">
        <v>4.76</v>
      </c>
      <c r="W472" s="356">
        <v>4.76</v>
      </c>
      <c r="X472" s="356">
        <v>4.76</v>
      </c>
      <c r="Y472" s="356">
        <v>4.76</v>
      </c>
      <c r="Z472" s="357">
        <v>4.76</v>
      </c>
      <c r="AA472" s="352">
        <v>2090.83</v>
      </c>
    </row>
    <row r="473" spans="2:27" ht="12.75" customHeight="1">
      <c r="B473" s="193"/>
      <c r="C473" s="194"/>
      <c r="D473" s="194"/>
      <c r="E473" s="194"/>
      <c r="F473" s="194"/>
      <c r="G473" s="194"/>
      <c r="H473" s="194"/>
      <c r="I473" s="195"/>
      <c r="J473" s="132"/>
      <c r="K473" s="117"/>
      <c r="M473" s="118"/>
      <c r="O473" s="3"/>
      <c r="P473" s="349" t="s">
        <v>125</v>
      </c>
      <c r="Q473" s="356">
        <v>12.68</v>
      </c>
      <c r="R473" s="356">
        <v>12.68</v>
      </c>
      <c r="S473" s="356">
        <v>12.68</v>
      </c>
      <c r="T473" s="356">
        <v>12.68</v>
      </c>
      <c r="U473" s="356">
        <v>12.68</v>
      </c>
      <c r="V473" s="356">
        <v>12.68</v>
      </c>
      <c r="W473" s="356">
        <v>12.68</v>
      </c>
      <c r="X473" s="356">
        <v>12.68</v>
      </c>
      <c r="Y473" s="356">
        <v>12.68</v>
      </c>
      <c r="Z473" s="357">
        <v>12.68</v>
      </c>
      <c r="AA473" s="352">
        <v>5569.69</v>
      </c>
    </row>
    <row r="474" spans="2:27" ht="12.75" customHeight="1">
      <c r="B474" s="258"/>
      <c r="C474" s="259"/>
      <c r="D474" s="259"/>
      <c r="E474" s="259"/>
      <c r="F474" s="259"/>
      <c r="G474" s="259"/>
      <c r="H474" s="259"/>
      <c r="I474" s="260"/>
      <c r="J474" s="132"/>
      <c r="K474" s="117"/>
      <c r="M474" s="118"/>
      <c r="O474" s="3"/>
      <c r="P474" s="349" t="s">
        <v>324</v>
      </c>
      <c r="Q474" s="356">
        <v>11.15</v>
      </c>
      <c r="R474" s="356">
        <v>11.15</v>
      </c>
      <c r="S474" s="356">
        <v>11.15</v>
      </c>
      <c r="T474" s="356">
        <v>11.15</v>
      </c>
      <c r="U474" s="356">
        <v>11.15</v>
      </c>
      <c r="V474" s="356">
        <v>11.15</v>
      </c>
      <c r="W474" s="356">
        <v>28.99</v>
      </c>
      <c r="X474" s="356">
        <v>28.99</v>
      </c>
      <c r="Y474" s="356">
        <v>28.99</v>
      </c>
      <c r="Z474" s="357">
        <v>28.99</v>
      </c>
      <c r="AA474" s="352">
        <v>7091.9575</v>
      </c>
    </row>
    <row r="475" spans="2:27" ht="12.75" customHeight="1">
      <c r="B475" s="258"/>
      <c r="C475" s="259"/>
      <c r="D475" s="259"/>
      <c r="E475" s="259"/>
      <c r="F475" s="259"/>
      <c r="G475" s="259"/>
      <c r="H475" s="259"/>
      <c r="I475" s="260"/>
      <c r="J475" s="132"/>
      <c r="K475" s="117"/>
      <c r="M475" s="118"/>
      <c r="O475" s="3"/>
      <c r="P475" s="349" t="s">
        <v>121</v>
      </c>
      <c r="Q475" s="356">
        <v>18.6</v>
      </c>
      <c r="R475" s="356">
        <v>18.6</v>
      </c>
      <c r="S475" s="356">
        <v>18.6</v>
      </c>
      <c r="T475" s="356">
        <v>18.6</v>
      </c>
      <c r="U475" s="356">
        <v>25.42</v>
      </c>
      <c r="V475" s="356">
        <v>18.6</v>
      </c>
      <c r="W475" s="356">
        <v>23.55</v>
      </c>
      <c r="X475" s="356">
        <v>62.02</v>
      </c>
      <c r="Y475" s="356">
        <v>56.44</v>
      </c>
      <c r="Z475" s="357">
        <v>56.44</v>
      </c>
      <c r="AA475" s="352">
        <v>12620.94</v>
      </c>
    </row>
    <row r="476" spans="2:27" ht="12.75" customHeight="1">
      <c r="B476" s="258"/>
      <c r="C476" s="259"/>
      <c r="D476" s="259"/>
      <c r="E476" s="259"/>
      <c r="F476" s="259"/>
      <c r="G476" s="259"/>
      <c r="H476" s="259"/>
      <c r="I476" s="260"/>
      <c r="J476" s="132"/>
      <c r="K476" s="117"/>
      <c r="M476" s="118"/>
      <c r="O476" s="3"/>
      <c r="P476" s="349" t="s">
        <v>325</v>
      </c>
      <c r="Q476" s="356">
        <v>127.11</v>
      </c>
      <c r="R476" s="356">
        <v>109.06</v>
      </c>
      <c r="S476" s="356">
        <v>165.25</v>
      </c>
      <c r="T476" s="356">
        <v>165.25</v>
      </c>
      <c r="U476" s="356">
        <v>165.25</v>
      </c>
      <c r="V476" s="356">
        <v>165.25</v>
      </c>
      <c r="W476" s="356">
        <v>228.8</v>
      </c>
      <c r="X476" s="356">
        <v>199.92</v>
      </c>
      <c r="Y476" s="356">
        <v>290.34</v>
      </c>
      <c r="Z476" s="357">
        <v>290.34</v>
      </c>
      <c r="AA476" s="352">
        <v>76605.0665</v>
      </c>
    </row>
    <row r="477" spans="2:27" ht="12.75" customHeight="1" thickBot="1">
      <c r="B477" s="196"/>
      <c r="C477" s="197"/>
      <c r="D477" s="197"/>
      <c r="E477" s="197"/>
      <c r="F477" s="197"/>
      <c r="G477" s="197"/>
      <c r="H477" s="197"/>
      <c r="I477" s="198"/>
      <c r="J477" s="132"/>
      <c r="K477" s="117"/>
      <c r="M477" s="118"/>
      <c r="O477" s="3"/>
      <c r="P477" s="365" t="s">
        <v>326</v>
      </c>
      <c r="Q477" s="356">
        <v>97.08</v>
      </c>
      <c r="R477" s="356">
        <v>0</v>
      </c>
      <c r="S477" s="356">
        <v>97.08</v>
      </c>
      <c r="T477" s="356">
        <v>0</v>
      </c>
      <c r="U477" s="356">
        <v>0</v>
      </c>
      <c r="V477" s="356">
        <v>0</v>
      </c>
      <c r="W477" s="356">
        <v>97.08</v>
      </c>
      <c r="X477" s="356">
        <v>0</v>
      </c>
      <c r="Y477" s="356">
        <v>97.08</v>
      </c>
      <c r="Z477" s="357">
        <v>0</v>
      </c>
      <c r="AA477" s="366">
        <v>12021.4164</v>
      </c>
    </row>
    <row r="478" spans="3:27" ht="12.75" customHeight="1" thickBot="1">
      <c r="C478" s="88"/>
      <c r="D478" s="88"/>
      <c r="E478" s="88"/>
      <c r="F478" s="88"/>
      <c r="J478" s="88"/>
      <c r="K478" s="63"/>
      <c r="O478" s="3"/>
      <c r="P478" s="367" t="s">
        <v>327</v>
      </c>
      <c r="Q478" s="368">
        <v>7671.94</v>
      </c>
      <c r="R478" s="368">
        <v>6716.11</v>
      </c>
      <c r="S478" s="368">
        <v>9735.13</v>
      </c>
      <c r="T478" s="368">
        <v>9787.53</v>
      </c>
      <c r="U478" s="368">
        <v>17687.44</v>
      </c>
      <c r="V478" s="368">
        <v>28517.87</v>
      </c>
      <c r="W478" s="368">
        <v>13346.4</v>
      </c>
      <c r="X478" s="368">
        <v>11668.15</v>
      </c>
      <c r="Y478" s="368">
        <v>18038.76</v>
      </c>
      <c r="Z478" s="368">
        <v>18087.25</v>
      </c>
      <c r="AA478" s="369">
        <v>5507608.0064</v>
      </c>
    </row>
    <row r="479" spans="2:27" ht="12.75" customHeight="1" thickBot="1">
      <c r="B479" s="1277" t="s">
        <v>328</v>
      </c>
      <c r="C479" s="1278"/>
      <c r="D479" s="1278"/>
      <c r="E479" s="1278"/>
      <c r="F479" s="1278"/>
      <c r="G479" s="1278"/>
      <c r="H479" s="1278"/>
      <c r="I479" s="1279"/>
      <c r="J479" s="115"/>
      <c r="K479" s="63"/>
      <c r="O479" s="3"/>
      <c r="P479" s="367" t="s">
        <v>329</v>
      </c>
      <c r="Q479" s="370">
        <v>266.62</v>
      </c>
      <c r="R479" s="370">
        <v>151.49</v>
      </c>
      <c r="S479" s="370">
        <v>304.76</v>
      </c>
      <c r="T479" s="370">
        <v>207.68</v>
      </c>
      <c r="U479" s="370">
        <v>214.5</v>
      </c>
      <c r="V479" s="370">
        <v>207.68</v>
      </c>
      <c r="W479" s="370">
        <v>391.1</v>
      </c>
      <c r="X479" s="370">
        <v>303.61</v>
      </c>
      <c r="Y479" s="370">
        <v>485.53</v>
      </c>
      <c r="Z479" s="370">
        <v>388.45</v>
      </c>
      <c r="AA479" s="370">
        <v>113909.07040000001</v>
      </c>
    </row>
    <row r="480" spans="2:27" ht="12.75" customHeight="1" thickBot="1">
      <c r="B480" s="123"/>
      <c r="C480" s="371"/>
      <c r="D480" s="371"/>
      <c r="E480" s="371"/>
      <c r="F480" s="371"/>
      <c r="G480" s="372"/>
      <c r="H480" s="371"/>
      <c r="I480" s="373"/>
      <c r="J480" s="115"/>
      <c r="K480" s="63"/>
      <c r="O480" s="3"/>
      <c r="P480" s="367" t="s">
        <v>330</v>
      </c>
      <c r="Q480" s="370">
        <v>7938.56</v>
      </c>
      <c r="R480" s="370">
        <v>6867.6</v>
      </c>
      <c r="S480" s="370">
        <v>10039.89</v>
      </c>
      <c r="T480" s="370">
        <v>9995.21</v>
      </c>
      <c r="U480" s="370">
        <v>17901.94</v>
      </c>
      <c r="V480" s="370">
        <v>28725.55</v>
      </c>
      <c r="W480" s="370">
        <v>13737.5</v>
      </c>
      <c r="X480" s="370">
        <v>11971.76</v>
      </c>
      <c r="Y480" s="370">
        <v>18524.29</v>
      </c>
      <c r="Z480" s="370">
        <v>18475.7</v>
      </c>
      <c r="AA480" s="374">
        <v>5621517.0768</v>
      </c>
    </row>
    <row r="481" spans="3:15" ht="12.75" customHeight="1">
      <c r="C481" s="88"/>
      <c r="D481" s="1313"/>
      <c r="E481" s="1313"/>
      <c r="F481" s="1314"/>
      <c r="G481" s="375"/>
      <c r="H481" s="86"/>
      <c r="I481" s="376"/>
      <c r="J481" s="88"/>
      <c r="O481" s="3"/>
    </row>
    <row r="482" spans="3:15" ht="12.75" customHeight="1" thickBot="1">
      <c r="C482" s="88"/>
      <c r="D482" s="1313"/>
      <c r="E482" s="1313"/>
      <c r="F482" s="1314"/>
      <c r="G482" s="375"/>
      <c r="H482" s="86"/>
      <c r="I482" s="355"/>
      <c r="J482" s="88"/>
      <c r="K482" s="107" t="s">
        <v>311</v>
      </c>
      <c r="O482" s="3"/>
    </row>
    <row r="483" spans="3:15" ht="12.75" customHeight="1" thickBot="1">
      <c r="C483" s="210" t="s">
        <v>156</v>
      </c>
      <c r="D483" s="1313"/>
      <c r="E483" s="1313"/>
      <c r="F483" s="1314"/>
      <c r="G483" s="375"/>
      <c r="H483" s="86"/>
      <c r="I483" s="355"/>
      <c r="J483" s="88"/>
      <c r="K483" s="172"/>
      <c r="M483" s="118"/>
      <c r="O483" s="3"/>
    </row>
    <row r="484" spans="3:15" ht="12.75" customHeight="1">
      <c r="C484" s="210"/>
      <c r="D484" s="210"/>
      <c r="E484" s="210"/>
      <c r="F484" s="205"/>
      <c r="G484" s="255"/>
      <c r="H484" s="55"/>
      <c r="I484" s="243"/>
      <c r="J484" s="129"/>
      <c r="K484" s="117"/>
      <c r="M484" s="118"/>
      <c r="O484" s="3"/>
    </row>
    <row r="485" spans="2:15" ht="12.75" customHeight="1">
      <c r="B485" s="1264" t="s">
        <v>114</v>
      </c>
      <c r="C485" s="1265"/>
      <c r="D485" s="1265"/>
      <c r="E485" s="1265"/>
      <c r="F485" s="1265"/>
      <c r="G485" s="1265"/>
      <c r="H485" s="1265"/>
      <c r="I485" s="1265"/>
      <c r="J485" s="130"/>
      <c r="K485" s="117"/>
      <c r="M485" s="118"/>
      <c r="O485" s="3"/>
    </row>
    <row r="486" spans="2:15" ht="12.75" customHeight="1">
      <c r="B486" s="193"/>
      <c r="C486" s="194"/>
      <c r="D486" s="194"/>
      <c r="E486" s="194"/>
      <c r="F486" s="194"/>
      <c r="G486" s="194"/>
      <c r="H486" s="194"/>
      <c r="I486" s="195"/>
      <c r="J486" s="132"/>
      <c r="K486" s="117"/>
      <c r="M486" s="118"/>
      <c r="O486" s="3"/>
    </row>
    <row r="487" spans="2:15" ht="12.75" customHeight="1">
      <c r="B487" s="258"/>
      <c r="C487" s="259"/>
      <c r="D487" s="259"/>
      <c r="E487" s="259"/>
      <c r="F487" s="259"/>
      <c r="G487" s="259"/>
      <c r="H487" s="259"/>
      <c r="I487" s="260"/>
      <c r="J487" s="132"/>
      <c r="K487" s="117"/>
      <c r="M487" s="118"/>
      <c r="O487" s="3"/>
    </row>
    <row r="488" spans="2:15" ht="12.75" customHeight="1">
      <c r="B488" s="258"/>
      <c r="C488" s="259"/>
      <c r="D488" s="259"/>
      <c r="E488" s="259"/>
      <c r="F488" s="259"/>
      <c r="G488" s="259"/>
      <c r="H488" s="259"/>
      <c r="I488" s="260"/>
      <c r="J488" s="132"/>
      <c r="K488" s="117"/>
      <c r="M488" s="118"/>
      <c r="O488" s="3"/>
    </row>
    <row r="489" spans="2:15" ht="12.75" customHeight="1">
      <c r="B489" s="258"/>
      <c r="C489" s="259"/>
      <c r="D489" s="259"/>
      <c r="E489" s="259"/>
      <c r="F489" s="259"/>
      <c r="G489" s="259"/>
      <c r="H489" s="259"/>
      <c r="I489" s="260"/>
      <c r="J489" s="132"/>
      <c r="K489" s="117"/>
      <c r="M489" s="118"/>
      <c r="O489" s="3"/>
    </row>
    <row r="490" spans="2:15" ht="12.75" customHeight="1">
      <c r="B490" s="196"/>
      <c r="C490" s="197"/>
      <c r="D490" s="197"/>
      <c r="E490" s="197"/>
      <c r="F490" s="197"/>
      <c r="G490" s="197"/>
      <c r="H490" s="197"/>
      <c r="I490" s="198"/>
      <c r="J490" s="132"/>
      <c r="K490" s="117"/>
      <c r="M490" s="118"/>
      <c r="O490" s="3"/>
    </row>
    <row r="491" spans="3:15" ht="12.75" customHeight="1">
      <c r="C491" s="210"/>
      <c r="D491" s="210"/>
      <c r="E491" s="210"/>
      <c r="F491" s="205"/>
      <c r="G491" s="114"/>
      <c r="H491" s="55"/>
      <c r="I491" s="116"/>
      <c r="J491" s="129"/>
      <c r="K491" s="117"/>
      <c r="M491" s="118"/>
      <c r="O491" s="3"/>
    </row>
    <row r="492" spans="2:15" ht="12.75" customHeight="1">
      <c r="B492" s="1277" t="s">
        <v>331</v>
      </c>
      <c r="C492" s="1278"/>
      <c r="D492" s="1278"/>
      <c r="E492" s="1278"/>
      <c r="F492" s="1278"/>
      <c r="G492" s="1278"/>
      <c r="H492" s="1278"/>
      <c r="I492" s="1279"/>
      <c r="J492" s="377"/>
      <c r="K492" s="63"/>
      <c r="O492" s="3"/>
    </row>
    <row r="493" spans="2:15" ht="12.75" customHeight="1">
      <c r="B493" s="123"/>
      <c r="C493" s="371"/>
      <c r="D493" s="371"/>
      <c r="E493" s="371"/>
      <c r="F493" s="371"/>
      <c r="G493" s="378"/>
      <c r="H493" s="379"/>
      <c r="I493" s="380"/>
      <c r="J493" s="377"/>
      <c r="K493" s="63"/>
      <c r="O493" s="3"/>
    </row>
    <row r="494" spans="3:15" ht="12.75" customHeight="1">
      <c r="C494" s="215"/>
      <c r="D494" s="1311" t="s">
        <v>332</v>
      </c>
      <c r="E494" s="1311"/>
      <c r="F494" s="1312"/>
      <c r="G494" s="381"/>
      <c r="H494" s="86"/>
      <c r="I494" s="382">
        <f>+'Table 3b'!T14</f>
        <v>245.36</v>
      </c>
      <c r="J494" s="88"/>
      <c r="O494" s="3"/>
    </row>
    <row r="495" spans="3:15" ht="12.75" customHeight="1" thickBot="1">
      <c r="C495" s="88"/>
      <c r="D495" s="1311" t="s">
        <v>333</v>
      </c>
      <c r="E495" s="1311"/>
      <c r="F495" s="1312"/>
      <c r="G495" s="375"/>
      <c r="H495" s="86"/>
      <c r="I495" s="383">
        <f>'Table 3b'!$U$14</f>
        <v>42.63</v>
      </c>
      <c r="J495" s="88"/>
      <c r="K495" s="107" t="s">
        <v>311</v>
      </c>
      <c r="O495" s="3"/>
    </row>
    <row r="496" spans="3:15" ht="12.75" customHeight="1" thickBot="1">
      <c r="C496" s="215"/>
      <c r="D496" s="1311" t="s">
        <v>334</v>
      </c>
      <c r="E496" s="1311"/>
      <c r="F496" s="1312"/>
      <c r="G496" s="375"/>
      <c r="H496" s="86"/>
      <c r="I496" s="383">
        <f>+'Table 3b'!V14</f>
        <v>184.41</v>
      </c>
      <c r="J496" s="88"/>
      <c r="K496" s="172">
        <f>+'Table 3b'!W24</f>
        <v>52228</v>
      </c>
      <c r="O496" s="3"/>
    </row>
    <row r="497" spans="2:15" ht="12.75" customHeight="1">
      <c r="B497" s="15"/>
      <c r="C497" s="384"/>
      <c r="D497" s="384"/>
      <c r="E497" s="384"/>
      <c r="F497" s="325"/>
      <c r="G497" s="255"/>
      <c r="H497" s="55"/>
      <c r="I497" s="243"/>
      <c r="J497" s="129"/>
      <c r="K497" s="117"/>
      <c r="L497" s="15"/>
      <c r="M497" s="328"/>
      <c r="N497" s="15"/>
      <c r="O497" s="3"/>
    </row>
    <row r="498" spans="2:15" ht="12.75" customHeight="1">
      <c r="B498" s="1264" t="s">
        <v>114</v>
      </c>
      <c r="C498" s="1265"/>
      <c r="D498" s="1265"/>
      <c r="E498" s="1265"/>
      <c r="F498" s="1265"/>
      <c r="G498" s="1265"/>
      <c r="H498" s="1265"/>
      <c r="I498" s="1265"/>
      <c r="J498" s="130"/>
      <c r="K498" s="117"/>
      <c r="M498" s="118"/>
      <c r="O498" s="3"/>
    </row>
    <row r="499" spans="2:15" ht="28.5" customHeight="1">
      <c r="B499" s="1269" t="s">
        <v>335</v>
      </c>
      <c r="C499" s="1269"/>
      <c r="D499" s="1269"/>
      <c r="E499" s="1269"/>
      <c r="F499" s="1269"/>
      <c r="G499" s="1269"/>
      <c r="H499" s="1269"/>
      <c r="I499" s="1269"/>
      <c r="J499" s="132"/>
      <c r="K499" s="117"/>
      <c r="M499" s="118"/>
      <c r="O499" s="3"/>
    </row>
    <row r="500" spans="2:15" ht="34.5" customHeight="1">
      <c r="B500" s="1269" t="s">
        <v>336</v>
      </c>
      <c r="C500" s="1269"/>
      <c r="D500" s="1269"/>
      <c r="E500" s="1269"/>
      <c r="F500" s="1269"/>
      <c r="G500" s="1269"/>
      <c r="H500" s="1269"/>
      <c r="I500" s="1269"/>
      <c r="J500" s="132"/>
      <c r="K500" s="117"/>
      <c r="M500" s="118"/>
      <c r="O500" s="3"/>
    </row>
    <row r="501" spans="2:15" ht="31.5" customHeight="1">
      <c r="B501" s="1269" t="s">
        <v>337</v>
      </c>
      <c r="C501" s="1269"/>
      <c r="D501" s="1269"/>
      <c r="E501" s="1269"/>
      <c r="F501" s="1269"/>
      <c r="G501" s="1269"/>
      <c r="H501" s="1269"/>
      <c r="I501" s="1269"/>
      <c r="J501" s="132"/>
      <c r="K501" s="117"/>
      <c r="M501" s="118"/>
      <c r="O501" s="3"/>
    </row>
    <row r="502" spans="2:15" ht="32.25" customHeight="1">
      <c r="B502" s="1269" t="s">
        <v>215</v>
      </c>
      <c r="C502" s="1269"/>
      <c r="D502" s="1269"/>
      <c r="E502" s="1269"/>
      <c r="F502" s="1269"/>
      <c r="G502" s="1269"/>
      <c r="H502" s="1269"/>
      <c r="I502" s="1269"/>
      <c r="J502" s="132"/>
      <c r="K502" s="117"/>
      <c r="M502" s="118"/>
      <c r="O502" s="3"/>
    </row>
    <row r="503" spans="2:15" ht="30" customHeight="1">
      <c r="B503" s="1269" t="s">
        <v>228</v>
      </c>
      <c r="C503" s="1269"/>
      <c r="D503" s="1269"/>
      <c r="E503" s="1269"/>
      <c r="F503" s="1269"/>
      <c r="G503" s="1269"/>
      <c r="H503" s="1269"/>
      <c r="I503" s="1269"/>
      <c r="J503" s="132"/>
      <c r="K503" s="117"/>
      <c r="M503" s="118"/>
      <c r="O503" s="3"/>
    </row>
    <row r="504" spans="3:15" ht="12.75" customHeight="1">
      <c r="C504" s="88"/>
      <c r="D504" s="88"/>
      <c r="E504" s="88"/>
      <c r="J504" s="88"/>
      <c r="K504" s="63"/>
      <c r="O504" s="3"/>
    </row>
    <row r="505" spans="3:11" ht="15">
      <c r="C505" s="88"/>
      <c r="D505" s="88"/>
      <c r="E505" s="88"/>
      <c r="F505" s="88"/>
      <c r="G505" s="385"/>
      <c r="H505" s="330"/>
      <c r="I505" s="386"/>
      <c r="J505" s="88"/>
      <c r="K505" s="63"/>
    </row>
    <row r="506" spans="2:11" ht="15">
      <c r="B506" s="1399" t="s">
        <v>338</v>
      </c>
      <c r="C506" s="1400"/>
      <c r="D506" s="1400"/>
      <c r="E506" s="1400"/>
      <c r="F506" s="1400"/>
      <c r="G506" s="1400"/>
      <c r="H506" s="1400"/>
      <c r="I506" s="1401"/>
      <c r="J506" s="88"/>
      <c r="K506" s="63"/>
    </row>
    <row r="507" spans="3:11" ht="15">
      <c r="C507" s="88"/>
      <c r="D507" s="88"/>
      <c r="E507" s="88"/>
      <c r="F507" s="88"/>
      <c r="J507" s="88"/>
      <c r="K507" s="63"/>
    </row>
    <row r="508" spans="3:11" ht="15">
      <c r="C508" s="88"/>
      <c r="D508" s="1309" t="s">
        <v>232</v>
      </c>
      <c r="E508" s="1309"/>
      <c r="F508" s="1310"/>
      <c r="G508" s="387" t="s">
        <v>339</v>
      </c>
      <c r="H508" s="286"/>
      <c r="I508" s="120" t="str">
        <f>+G508</f>
        <v>Actuals</v>
      </c>
      <c r="J508" s="129"/>
      <c r="K508" s="288"/>
    </row>
    <row r="509" spans="3:11" ht="15.75" thickBot="1">
      <c r="C509" s="88"/>
      <c r="D509" s="1309" t="s">
        <v>340</v>
      </c>
      <c r="E509" s="1309"/>
      <c r="F509" s="1310"/>
      <c r="G509" s="388" t="s">
        <v>341</v>
      </c>
      <c r="H509" s="286"/>
      <c r="I509" s="287">
        <f>+'Table 3b'!Y14</f>
        <v>33.24</v>
      </c>
      <c r="J509" s="129"/>
      <c r="K509" s="107" t="s">
        <v>311</v>
      </c>
    </row>
    <row r="510" spans="3:11" ht="15.75" thickBot="1">
      <c r="C510" s="88"/>
      <c r="D510" s="1309" t="s">
        <v>342</v>
      </c>
      <c r="E510" s="1309"/>
      <c r="F510" s="1310"/>
      <c r="G510" s="387" t="s">
        <v>260</v>
      </c>
      <c r="H510" s="286"/>
      <c r="I510" s="287">
        <f>+'Table 3b'!Z14</f>
        <v>21.43</v>
      </c>
      <c r="J510" s="129"/>
      <c r="K510" s="172">
        <f>+'Table 3b'!AA24</f>
        <v>264170</v>
      </c>
    </row>
    <row r="511" spans="3:18" ht="15.75" thickBot="1">
      <c r="C511" s="88"/>
      <c r="D511" s="88"/>
      <c r="E511" s="88"/>
      <c r="F511" s="88"/>
      <c r="J511" s="88"/>
      <c r="K511" s="63"/>
      <c r="P511" s="389" t="s">
        <v>235</v>
      </c>
      <c r="Q511" s="390" t="s">
        <v>311</v>
      </c>
      <c r="R511" s="391"/>
    </row>
    <row r="512" spans="2:18" ht="15">
      <c r="B512" s="1264" t="s">
        <v>114</v>
      </c>
      <c r="C512" s="1265"/>
      <c r="D512" s="1265"/>
      <c r="E512" s="1265"/>
      <c r="F512" s="1265"/>
      <c r="G512" s="1265"/>
      <c r="H512" s="1265"/>
      <c r="I512" s="1283"/>
      <c r="J512" s="88"/>
      <c r="K512" s="63"/>
      <c r="P512" s="392" t="s">
        <v>115</v>
      </c>
      <c r="Q512" s="393">
        <v>3.99</v>
      </c>
      <c r="R512" s="394"/>
    </row>
    <row r="513" spans="2:18" ht="15">
      <c r="B513" s="1254" t="s">
        <v>343</v>
      </c>
      <c r="C513" s="1254"/>
      <c r="D513" s="1254"/>
      <c r="E513" s="1254"/>
      <c r="F513" s="1254"/>
      <c r="G513" s="1254"/>
      <c r="H513" s="1254"/>
      <c r="I513" s="1254"/>
      <c r="J513" s="88"/>
      <c r="K513" s="63"/>
      <c r="P513" s="395" t="s">
        <v>112</v>
      </c>
      <c r="Q513" s="351">
        <v>2.8</v>
      </c>
      <c r="R513" s="350"/>
    </row>
    <row r="514" spans="2:18" ht="15">
      <c r="B514" s="1254" t="s">
        <v>243</v>
      </c>
      <c r="C514" s="1254"/>
      <c r="D514" s="1254"/>
      <c r="E514" s="1254"/>
      <c r="F514" s="1254"/>
      <c r="G514" s="1254"/>
      <c r="H514" s="1254"/>
      <c r="I514" s="1254"/>
      <c r="J514" s="88"/>
      <c r="K514" s="63"/>
      <c r="P514" s="396" t="s">
        <v>238</v>
      </c>
      <c r="Q514" s="397">
        <v>13.38</v>
      </c>
      <c r="R514" s="398"/>
    </row>
    <row r="515" spans="2:18" ht="39" customHeight="1" thickBot="1">
      <c r="B515" s="1254" t="s">
        <v>344</v>
      </c>
      <c r="C515" s="1254"/>
      <c r="D515" s="1254"/>
      <c r="E515" s="1254"/>
      <c r="F515" s="1254"/>
      <c r="G515" s="1254"/>
      <c r="H515" s="1254"/>
      <c r="I515" s="1254"/>
      <c r="J515" s="88"/>
      <c r="K515" s="63"/>
      <c r="P515" s="396" t="s">
        <v>239</v>
      </c>
      <c r="Q515" s="399">
        <v>1.26</v>
      </c>
      <c r="R515" s="400"/>
    </row>
    <row r="516" spans="2:18" ht="35.25" customHeight="1" thickBot="1">
      <c r="B516" s="1254" t="s">
        <v>345</v>
      </c>
      <c r="C516" s="1254"/>
      <c r="D516" s="1254"/>
      <c r="E516" s="1254"/>
      <c r="F516" s="1254"/>
      <c r="G516" s="1254"/>
      <c r="H516" s="1254"/>
      <c r="I516" s="1254"/>
      <c r="J516" s="88"/>
      <c r="K516" s="63"/>
      <c r="P516" s="389" t="s">
        <v>240</v>
      </c>
      <c r="Q516" s="401">
        <v>21.43</v>
      </c>
      <c r="R516" s="402"/>
    </row>
    <row r="517" spans="3:11" ht="15">
      <c r="C517" s="88"/>
      <c r="D517" s="88"/>
      <c r="E517" s="88"/>
      <c r="F517" s="88"/>
      <c r="J517" s="88"/>
      <c r="K517" s="63"/>
    </row>
    <row r="518" spans="3:11" ht="15">
      <c r="C518" s="88"/>
      <c r="D518" s="88"/>
      <c r="E518" s="88"/>
      <c r="F518" s="88"/>
      <c r="J518" s="88"/>
      <c r="K518" s="63"/>
    </row>
    <row r="519" spans="3:11" ht="15.75" thickBot="1">
      <c r="C519" s="88"/>
      <c r="D519" s="88"/>
      <c r="E519" s="88"/>
      <c r="F519" s="88"/>
      <c r="J519" s="88"/>
      <c r="K519" s="63"/>
    </row>
    <row r="520" spans="2:22" ht="15.75" thickBot="1">
      <c r="B520" s="1399" t="s">
        <v>346</v>
      </c>
      <c r="C520" s="1400"/>
      <c r="D520" s="1400"/>
      <c r="E520" s="1400"/>
      <c r="F520" s="1400"/>
      <c r="G520" s="1400"/>
      <c r="H520" s="1400"/>
      <c r="I520" s="1401"/>
      <c r="J520" s="88"/>
      <c r="K520" s="63"/>
      <c r="P520" s="1306" t="s">
        <v>347</v>
      </c>
      <c r="Q520" s="1307"/>
      <c r="R520" s="1307"/>
      <c r="S520" s="1307"/>
      <c r="T520" s="1307"/>
      <c r="U520" s="1307"/>
      <c r="V520" s="1308"/>
    </row>
    <row r="521" spans="3:22" ht="15.75" thickBot="1">
      <c r="C521" s="88"/>
      <c r="D521" s="88"/>
      <c r="E521" s="88"/>
      <c r="F521" s="88"/>
      <c r="J521" s="88"/>
      <c r="K521" s="63"/>
      <c r="P521" s="403">
        <v>0</v>
      </c>
      <c r="Q521" s="404" t="s">
        <v>348</v>
      </c>
      <c r="R521" s="405" t="s">
        <v>349</v>
      </c>
      <c r="S521" s="405" t="s">
        <v>350</v>
      </c>
      <c r="T521" s="405" t="s">
        <v>351</v>
      </c>
      <c r="U521" s="406" t="s">
        <v>352</v>
      </c>
      <c r="V521" s="407" t="s">
        <v>138</v>
      </c>
    </row>
    <row r="522" spans="3:22" ht="15.75" thickBot="1">
      <c r="C522" s="88"/>
      <c r="D522" s="1309" t="s">
        <v>353</v>
      </c>
      <c r="E522" s="1309"/>
      <c r="F522" s="1310"/>
      <c r="G522" s="387" t="s">
        <v>354</v>
      </c>
      <c r="H522" s="286"/>
      <c r="I522" s="120" t="s">
        <v>355</v>
      </c>
      <c r="J522" s="129"/>
      <c r="K522" s="107" t="s">
        <v>311</v>
      </c>
      <c r="P522" s="408" t="s">
        <v>356</v>
      </c>
      <c r="Q522" s="340" t="s">
        <v>357</v>
      </c>
      <c r="R522" s="409" t="s">
        <v>357</v>
      </c>
      <c r="S522" s="409" t="s">
        <v>358</v>
      </c>
      <c r="T522" s="409" t="s">
        <v>359</v>
      </c>
      <c r="U522" s="410" t="s">
        <v>359</v>
      </c>
      <c r="V522" s="411" t="s">
        <v>298</v>
      </c>
    </row>
    <row r="523" spans="3:22" ht="33.75" customHeight="1" thickBot="1">
      <c r="C523" s="88"/>
      <c r="D523" s="1309" t="s">
        <v>360</v>
      </c>
      <c r="E523" s="1309"/>
      <c r="F523" s="1310"/>
      <c r="G523" s="388" t="s">
        <v>361</v>
      </c>
      <c r="H523" s="286"/>
      <c r="I523" s="287" t="s">
        <v>362</v>
      </c>
      <c r="J523" s="129"/>
      <c r="K523" s="172">
        <f>+'Table 3b'!AE24</f>
        <v>932571</v>
      </c>
      <c r="P523" s="412" t="s">
        <v>363</v>
      </c>
      <c r="Q523" s="343">
        <v>101427</v>
      </c>
      <c r="R523" s="413">
        <v>101427</v>
      </c>
      <c r="S523" s="413">
        <v>101427</v>
      </c>
      <c r="T523" s="413">
        <v>101427</v>
      </c>
      <c r="U523" s="414">
        <v>101427</v>
      </c>
      <c r="V523" s="415">
        <v>507135</v>
      </c>
    </row>
    <row r="524" spans="3:22" ht="15">
      <c r="C524" s="88"/>
      <c r="D524" s="88"/>
      <c r="E524" s="88"/>
      <c r="F524" s="88"/>
      <c r="J524" s="88"/>
      <c r="K524" s="63"/>
      <c r="P524" s="416" t="s">
        <v>364</v>
      </c>
      <c r="Q524" s="349">
        <v>5003</v>
      </c>
      <c r="R524" s="417">
        <v>5003</v>
      </c>
      <c r="S524" s="417">
        <v>4258</v>
      </c>
      <c r="T524" s="417">
        <v>5003</v>
      </c>
      <c r="U524" s="418">
        <v>5003</v>
      </c>
      <c r="V524" s="352">
        <v>24270</v>
      </c>
    </row>
    <row r="525" spans="2:22" ht="15">
      <c r="B525" s="1264" t="s">
        <v>114</v>
      </c>
      <c r="C525" s="1265"/>
      <c r="D525" s="1265"/>
      <c r="E525" s="1265"/>
      <c r="F525" s="1265"/>
      <c r="G525" s="1265"/>
      <c r="H525" s="1265"/>
      <c r="I525" s="1283"/>
      <c r="J525" s="88"/>
      <c r="K525" s="63"/>
      <c r="P525" s="416" t="s">
        <v>315</v>
      </c>
      <c r="Q525" s="349">
        <v>14579</v>
      </c>
      <c r="R525" s="417">
        <v>14579</v>
      </c>
      <c r="S525" s="417">
        <v>14579</v>
      </c>
      <c r="T525" s="417">
        <v>14579</v>
      </c>
      <c r="U525" s="418">
        <v>14579</v>
      </c>
      <c r="V525" s="352">
        <v>72895</v>
      </c>
    </row>
    <row r="526" spans="2:22" ht="73.5" customHeight="1">
      <c r="B526" s="1254" t="s">
        <v>365</v>
      </c>
      <c r="C526" s="1254"/>
      <c r="D526" s="1254"/>
      <c r="E526" s="1254"/>
      <c r="F526" s="1254"/>
      <c r="G526" s="1254"/>
      <c r="H526" s="1254"/>
      <c r="I526" s="1254"/>
      <c r="J526" s="88"/>
      <c r="K526" s="63"/>
      <c r="P526" s="416" t="s">
        <v>366</v>
      </c>
      <c r="Q526" s="349">
        <v>18203</v>
      </c>
      <c r="R526" s="417">
        <v>18203</v>
      </c>
      <c r="S526" s="417">
        <v>18203</v>
      </c>
      <c r="T526" s="417">
        <v>18203</v>
      </c>
      <c r="U526" s="418">
        <v>18203</v>
      </c>
      <c r="V526" s="352">
        <v>91015</v>
      </c>
    </row>
    <row r="527" spans="2:22" ht="36" customHeight="1">
      <c r="B527" s="1250" t="s">
        <v>367</v>
      </c>
      <c r="C527" s="1251"/>
      <c r="D527" s="1251"/>
      <c r="E527" s="1251"/>
      <c r="F527" s="1251"/>
      <c r="G527" s="1251"/>
      <c r="H527" s="1251"/>
      <c r="I527" s="1252"/>
      <c r="J527" s="88"/>
      <c r="K527" s="63"/>
      <c r="P527" s="416" t="s">
        <v>368</v>
      </c>
      <c r="Q527" s="349">
        <v>1511</v>
      </c>
      <c r="R527" s="417">
        <v>1511</v>
      </c>
      <c r="S527" s="417">
        <v>1511</v>
      </c>
      <c r="T527" s="417">
        <v>1511</v>
      </c>
      <c r="U527" s="418">
        <v>1511</v>
      </c>
      <c r="V527" s="352">
        <v>7555</v>
      </c>
    </row>
    <row r="528" spans="2:22" ht="58.5" customHeight="1">
      <c r="B528" s="1249" t="s">
        <v>274</v>
      </c>
      <c r="C528" s="1249"/>
      <c r="D528" s="1249"/>
      <c r="E528" s="1249"/>
      <c r="F528" s="1249"/>
      <c r="G528" s="1249"/>
      <c r="H528" s="1249"/>
      <c r="I528" s="1249"/>
      <c r="J528" s="88"/>
      <c r="K528" s="63"/>
      <c r="P528" s="416"/>
      <c r="Q528" s="349"/>
      <c r="R528" s="417"/>
      <c r="S528" s="417"/>
      <c r="T528" s="417"/>
      <c r="U528" s="418"/>
      <c r="V528" s="352"/>
    </row>
    <row r="529" spans="2:22" ht="33" customHeight="1">
      <c r="B529" s="1254" t="s">
        <v>369</v>
      </c>
      <c r="C529" s="1254"/>
      <c r="D529" s="1254"/>
      <c r="E529" s="1254"/>
      <c r="F529" s="1254"/>
      <c r="G529" s="1254"/>
      <c r="H529" s="1254"/>
      <c r="I529" s="1254"/>
      <c r="J529" s="88"/>
      <c r="K529" s="63"/>
      <c r="P529" s="416" t="s">
        <v>370</v>
      </c>
      <c r="Q529" s="349">
        <v>964</v>
      </c>
      <c r="R529" s="417">
        <v>964</v>
      </c>
      <c r="S529" s="417">
        <v>964</v>
      </c>
      <c r="T529" s="417">
        <v>964</v>
      </c>
      <c r="U529" s="418">
        <v>964</v>
      </c>
      <c r="V529" s="352">
        <v>4820</v>
      </c>
    </row>
    <row r="530" spans="3:22" ht="15">
      <c r="C530" s="88"/>
      <c r="D530" s="88"/>
      <c r="E530" s="88"/>
      <c r="F530" s="88"/>
      <c r="J530" s="88"/>
      <c r="K530" s="63"/>
      <c r="P530" s="416" t="s">
        <v>105</v>
      </c>
      <c r="Q530" s="349">
        <v>7432</v>
      </c>
      <c r="R530" s="417">
        <v>7432</v>
      </c>
      <c r="S530" s="417">
        <v>6395</v>
      </c>
      <c r="T530" s="417">
        <v>7817</v>
      </c>
      <c r="U530" s="418">
        <v>7817</v>
      </c>
      <c r="V530" s="352">
        <v>36893</v>
      </c>
    </row>
    <row r="531" spans="3:22" ht="15">
      <c r="C531" s="215"/>
      <c r="D531" s="215"/>
      <c r="E531" s="215"/>
      <c r="J531" s="88"/>
      <c r="K531" s="63"/>
      <c r="P531" s="416" t="s">
        <v>371</v>
      </c>
      <c r="Q531" s="349">
        <v>0</v>
      </c>
      <c r="R531" s="417">
        <v>0</v>
      </c>
      <c r="S531" s="417">
        <v>0</v>
      </c>
      <c r="T531" s="417">
        <v>2369</v>
      </c>
      <c r="U531" s="418">
        <v>2369</v>
      </c>
      <c r="V531" s="352">
        <v>4738</v>
      </c>
    </row>
    <row r="532" spans="2:22" ht="12.75">
      <c r="B532" s="1317" t="s">
        <v>379</v>
      </c>
      <c r="C532" s="1318"/>
      <c r="D532" s="1318"/>
      <c r="E532" s="1318"/>
      <c r="F532" s="1318"/>
      <c r="G532" s="1318"/>
      <c r="H532" s="1318"/>
      <c r="I532" s="1319"/>
      <c r="P532" s="416" t="s">
        <v>111</v>
      </c>
      <c r="Q532" s="349">
        <v>480</v>
      </c>
      <c r="R532" s="417">
        <v>480</v>
      </c>
      <c r="S532" s="417">
        <v>480</v>
      </c>
      <c r="T532" s="417">
        <v>480</v>
      </c>
      <c r="U532" s="418">
        <v>480</v>
      </c>
      <c r="V532" s="352">
        <v>2400</v>
      </c>
    </row>
    <row r="533" spans="2:22" ht="13.5" thickBot="1">
      <c r="B533" s="52"/>
      <c r="C533" s="1315"/>
      <c r="D533" s="1315"/>
      <c r="E533" s="1315"/>
      <c r="F533" s="1316"/>
      <c r="G533" s="1316"/>
      <c r="H533" s="1316"/>
      <c r="I533" s="1316"/>
      <c r="K533" s="107" t="s">
        <v>311</v>
      </c>
      <c r="P533" s="416" t="s">
        <v>372</v>
      </c>
      <c r="Q533" s="349">
        <v>7434</v>
      </c>
      <c r="R533" s="417">
        <v>7434</v>
      </c>
      <c r="S533" s="417">
        <v>7434</v>
      </c>
      <c r="T533" s="417">
        <v>7434</v>
      </c>
      <c r="U533" s="418">
        <v>7434</v>
      </c>
      <c r="V533" s="352">
        <v>37170</v>
      </c>
    </row>
    <row r="534" spans="2:22" ht="13.5" thickBot="1">
      <c r="B534" s="330"/>
      <c r="C534" s="1320"/>
      <c r="D534" s="1320"/>
      <c r="E534" s="1320"/>
      <c r="F534" s="1320"/>
      <c r="G534" s="1320"/>
      <c r="H534" s="1320"/>
      <c r="I534" s="1320"/>
      <c r="K534" s="172"/>
      <c r="P534" s="416" t="s">
        <v>373</v>
      </c>
      <c r="Q534" s="349">
        <v>1475</v>
      </c>
      <c r="R534" s="417">
        <v>1475</v>
      </c>
      <c r="S534" s="417">
        <v>1475</v>
      </c>
      <c r="T534" s="417">
        <v>1475</v>
      </c>
      <c r="U534" s="418">
        <v>1475</v>
      </c>
      <c r="V534" s="352">
        <v>7375</v>
      </c>
    </row>
    <row r="535" spans="2:22" ht="12.75">
      <c r="B535" s="1264" t="s">
        <v>114</v>
      </c>
      <c r="C535" s="1265"/>
      <c r="D535" s="1265"/>
      <c r="E535" s="1265"/>
      <c r="F535" s="1265"/>
      <c r="G535" s="1265"/>
      <c r="H535" s="1265"/>
      <c r="I535" s="1265"/>
      <c r="J535" s="130"/>
      <c r="K535" s="117"/>
      <c r="M535" s="118"/>
      <c r="P535" s="416" t="s">
        <v>263</v>
      </c>
      <c r="Q535" s="349">
        <v>560</v>
      </c>
      <c r="R535" s="417">
        <v>560</v>
      </c>
      <c r="S535" s="417">
        <v>560</v>
      </c>
      <c r="T535" s="417">
        <v>560</v>
      </c>
      <c r="U535" s="418">
        <v>560</v>
      </c>
      <c r="V535" s="352">
        <v>2800</v>
      </c>
    </row>
    <row r="536" spans="2:22" ht="12.75">
      <c r="B536" s="193"/>
      <c r="C536" s="194"/>
      <c r="D536" s="194"/>
      <c r="E536" s="194"/>
      <c r="F536" s="194"/>
      <c r="G536" s="194"/>
      <c r="H536" s="194"/>
      <c r="I536" s="195"/>
      <c r="J536" s="132"/>
      <c r="K536" s="117"/>
      <c r="M536" s="118"/>
      <c r="P536" s="416" t="s">
        <v>265</v>
      </c>
      <c r="Q536" s="349">
        <v>842</v>
      </c>
      <c r="R536" s="417">
        <v>842</v>
      </c>
      <c r="S536" s="417">
        <v>842</v>
      </c>
      <c r="T536" s="417">
        <v>842</v>
      </c>
      <c r="U536" s="418">
        <v>842</v>
      </c>
      <c r="V536" s="352">
        <v>4210</v>
      </c>
    </row>
    <row r="537" spans="2:22" ht="12.75">
      <c r="B537" s="196"/>
      <c r="C537" s="197"/>
      <c r="D537" s="197"/>
      <c r="E537" s="197"/>
      <c r="F537" s="197"/>
      <c r="G537" s="197"/>
      <c r="H537" s="197"/>
      <c r="I537" s="198"/>
      <c r="J537" s="132"/>
      <c r="K537" s="117"/>
      <c r="M537" s="118"/>
      <c r="P537" s="416" t="s">
        <v>269</v>
      </c>
      <c r="Q537" s="349">
        <v>2752</v>
      </c>
      <c r="R537" s="417">
        <v>2752</v>
      </c>
      <c r="S537" s="417">
        <v>2752</v>
      </c>
      <c r="T537" s="417">
        <v>2752</v>
      </c>
      <c r="U537" s="418">
        <v>2752</v>
      </c>
      <c r="V537" s="352">
        <v>13760</v>
      </c>
    </row>
    <row r="538" spans="1:22" ht="15">
      <c r="A538" s="15"/>
      <c r="C538" s="5"/>
      <c r="D538" s="5"/>
      <c r="E538" s="5"/>
      <c r="K538" s="290"/>
      <c r="P538" s="416" t="s">
        <v>268</v>
      </c>
      <c r="Q538" s="349">
        <v>3063</v>
      </c>
      <c r="R538" s="417">
        <v>3063</v>
      </c>
      <c r="S538" s="417">
        <v>3063</v>
      </c>
      <c r="T538" s="417">
        <v>3063</v>
      </c>
      <c r="U538" s="418">
        <v>3063</v>
      </c>
      <c r="V538" s="352">
        <v>15315</v>
      </c>
    </row>
    <row r="539" spans="1:22" ht="15">
      <c r="A539" s="15"/>
      <c r="C539" s="5"/>
      <c r="D539" s="5"/>
      <c r="E539" s="5"/>
      <c r="K539" s="290"/>
      <c r="P539" s="416" t="s">
        <v>125</v>
      </c>
      <c r="Q539" s="349">
        <v>8390</v>
      </c>
      <c r="R539" s="417">
        <v>8390</v>
      </c>
      <c r="S539" s="417">
        <v>8390</v>
      </c>
      <c r="T539" s="417">
        <v>8390</v>
      </c>
      <c r="U539" s="418">
        <v>8390</v>
      </c>
      <c r="V539" s="352">
        <v>41950</v>
      </c>
    </row>
    <row r="540" spans="2:22" ht="12.75">
      <c r="B540" s="1317" t="s">
        <v>374</v>
      </c>
      <c r="C540" s="1318"/>
      <c r="D540" s="1318"/>
      <c r="E540" s="1318"/>
      <c r="F540" s="1318"/>
      <c r="G540" s="1318"/>
      <c r="H540" s="1318"/>
      <c r="I540" s="1319"/>
      <c r="K540" s="288"/>
      <c r="P540" s="416" t="s">
        <v>324</v>
      </c>
      <c r="Q540" s="349">
        <v>1801</v>
      </c>
      <c r="R540" s="417">
        <v>1801</v>
      </c>
      <c r="S540" s="417">
        <v>1801</v>
      </c>
      <c r="T540" s="417">
        <v>1801</v>
      </c>
      <c r="U540" s="418">
        <v>1801</v>
      </c>
      <c r="V540" s="352">
        <v>9005</v>
      </c>
    </row>
    <row r="541" spans="2:22" ht="13.5" thickBot="1">
      <c r="B541" s="52"/>
      <c r="C541" s="1315"/>
      <c r="D541" s="1315"/>
      <c r="E541" s="1315"/>
      <c r="F541" s="1316"/>
      <c r="G541" s="1316"/>
      <c r="H541" s="1316"/>
      <c r="I541" s="1316"/>
      <c r="K541" s="107" t="s">
        <v>311</v>
      </c>
      <c r="P541" s="416" t="s">
        <v>119</v>
      </c>
      <c r="Q541" s="349">
        <v>326</v>
      </c>
      <c r="R541" s="417">
        <v>326</v>
      </c>
      <c r="S541" s="417">
        <v>326</v>
      </c>
      <c r="T541" s="417">
        <v>326</v>
      </c>
      <c r="U541" s="418">
        <v>326</v>
      </c>
      <c r="V541" s="352">
        <v>1630</v>
      </c>
    </row>
    <row r="542" spans="2:22" ht="13.5" thickBot="1">
      <c r="B542" s="330"/>
      <c r="C542" s="1320"/>
      <c r="D542" s="1320"/>
      <c r="E542" s="1320"/>
      <c r="F542" s="1320"/>
      <c r="G542" s="1320"/>
      <c r="H542" s="1320"/>
      <c r="I542" s="1320"/>
      <c r="K542" s="419">
        <f>+'Table 3b'!AH24</f>
        <v>0</v>
      </c>
      <c r="P542" s="420" t="s">
        <v>123</v>
      </c>
      <c r="Q542" s="365">
        <v>319</v>
      </c>
      <c r="R542" s="421">
        <v>319</v>
      </c>
      <c r="S542" s="421">
        <v>319</v>
      </c>
      <c r="T542" s="421">
        <v>319</v>
      </c>
      <c r="U542" s="422">
        <v>319</v>
      </c>
      <c r="V542" s="352">
        <v>1595</v>
      </c>
    </row>
    <row r="543" spans="2:22" ht="13.5" thickBot="1">
      <c r="B543" s="1264" t="s">
        <v>114</v>
      </c>
      <c r="C543" s="1265"/>
      <c r="D543" s="1265"/>
      <c r="E543" s="1265"/>
      <c r="F543" s="1265"/>
      <c r="G543" s="1265"/>
      <c r="H543" s="1265"/>
      <c r="I543" s="1265"/>
      <c r="J543" s="130"/>
      <c r="K543" s="423"/>
      <c r="M543" s="118"/>
      <c r="P543" s="408" t="s">
        <v>298</v>
      </c>
      <c r="Q543" s="369">
        <v>176561</v>
      </c>
      <c r="R543" s="369">
        <v>176561</v>
      </c>
      <c r="S543" s="369">
        <v>174779</v>
      </c>
      <c r="T543" s="369">
        <v>179315</v>
      </c>
      <c r="U543" s="367">
        <v>179315</v>
      </c>
      <c r="V543" s="408">
        <v>886531</v>
      </c>
    </row>
    <row r="544" spans="2:13" ht="12.75">
      <c r="B544" s="193"/>
      <c r="C544" s="194"/>
      <c r="D544" s="194"/>
      <c r="E544" s="194"/>
      <c r="F544" s="194"/>
      <c r="G544" s="194"/>
      <c r="H544" s="194"/>
      <c r="I544" s="195"/>
      <c r="J544" s="132"/>
      <c r="K544" s="117"/>
      <c r="M544" s="118"/>
    </row>
    <row r="545" spans="2:13" ht="12.75">
      <c r="B545" s="196"/>
      <c r="C545" s="197"/>
      <c r="D545" s="197"/>
      <c r="E545" s="197"/>
      <c r="F545" s="197"/>
      <c r="G545" s="197"/>
      <c r="H545" s="197"/>
      <c r="I545" s="198"/>
      <c r="J545" s="132"/>
      <c r="K545" s="117"/>
      <c r="M545" s="118"/>
    </row>
    <row r="546" spans="1:11" ht="15">
      <c r="A546" s="15"/>
      <c r="C546" s="5"/>
      <c r="D546" s="5"/>
      <c r="E546" s="5"/>
      <c r="K546" s="290"/>
    </row>
    <row r="547" spans="2:11" ht="12.75">
      <c r="B547" s="1402" t="s">
        <v>375</v>
      </c>
      <c r="C547" s="1403"/>
      <c r="D547" s="1403"/>
      <c r="E547" s="1403"/>
      <c r="F547" s="1403"/>
      <c r="G547" s="1403"/>
      <c r="H547" s="1403"/>
      <c r="I547" s="1404"/>
      <c r="K547" s="288"/>
    </row>
    <row r="548" spans="2:11" ht="13.5" thickBot="1">
      <c r="B548" s="424"/>
      <c r="C548" s="425"/>
      <c r="D548" s="425"/>
      <c r="E548" s="425"/>
      <c r="F548" s="425"/>
      <c r="G548" s="426"/>
      <c r="H548" s="425"/>
      <c r="I548" s="427"/>
      <c r="K548" s="107" t="s">
        <v>311</v>
      </c>
    </row>
    <row r="549" spans="2:13" ht="13.5" thickBot="1">
      <c r="B549" s="52"/>
      <c r="C549" s="1315"/>
      <c r="D549" s="1315"/>
      <c r="E549" s="1315"/>
      <c r="F549" s="1315"/>
      <c r="G549" s="1315"/>
      <c r="H549" s="1315"/>
      <c r="I549" s="1315"/>
      <c r="K549" s="419">
        <f>+K542+K534+K523+K510+K496+K483+K470+K460</f>
        <v>6870486.0768</v>
      </c>
      <c r="M549" s="9">
        <f>+K549-'Table 3b'!AI24</f>
        <v>0</v>
      </c>
    </row>
    <row r="550" spans="2:11" ht="15">
      <c r="B550" s="52"/>
      <c r="C550" s="205"/>
      <c r="D550" s="205"/>
      <c r="E550" s="205"/>
      <c r="F550" s="205"/>
      <c r="G550" s="206"/>
      <c r="H550" s="205"/>
      <c r="I550" s="207"/>
      <c r="K550" s="288"/>
    </row>
    <row r="551" spans="2:11" ht="12.75">
      <c r="B551" s="1402" t="s">
        <v>376</v>
      </c>
      <c r="C551" s="1403"/>
      <c r="D551" s="1403"/>
      <c r="E551" s="1403"/>
      <c r="F551" s="1403"/>
      <c r="G551" s="1403"/>
      <c r="H551" s="1403"/>
      <c r="I551" s="1404"/>
      <c r="K551" s="288"/>
    </row>
    <row r="552" spans="2:11" ht="13.5" thickBot="1">
      <c r="B552" s="329"/>
      <c r="C552" s="1386"/>
      <c r="D552" s="1386"/>
      <c r="E552" s="1386"/>
      <c r="F552" s="1386"/>
      <c r="G552" s="1386"/>
      <c r="H552" s="1386"/>
      <c r="I552" s="1386"/>
      <c r="K552" s="107" t="s">
        <v>377</v>
      </c>
    </row>
    <row r="553" spans="2:11" ht="13.5" thickBot="1">
      <c r="B553" s="52"/>
      <c r="C553" s="1364" t="s">
        <v>138</v>
      </c>
      <c r="D553" s="1364"/>
      <c r="E553" s="1364"/>
      <c r="F553" s="1364"/>
      <c r="G553" s="1364"/>
      <c r="H553" s="1364"/>
      <c r="I553" s="1364"/>
      <c r="K553" s="419">
        <f>+K549+K437+K435</f>
        <v>121873376.8268</v>
      </c>
    </row>
  </sheetData>
  <sheetProtection/>
  <mergeCells count="343">
    <mergeCell ref="B514:I514"/>
    <mergeCell ref="B515:I515"/>
    <mergeCell ref="B516:I516"/>
    <mergeCell ref="D522:F522"/>
    <mergeCell ref="B520:I520"/>
    <mergeCell ref="C553:I553"/>
    <mergeCell ref="C542:I542"/>
    <mergeCell ref="B543:I543"/>
    <mergeCell ref="B547:I547"/>
    <mergeCell ref="C549:I549"/>
    <mergeCell ref="B551:I551"/>
    <mergeCell ref="C552:I552"/>
    <mergeCell ref="D469:F469"/>
    <mergeCell ref="B512:I512"/>
    <mergeCell ref="B462:I462"/>
    <mergeCell ref="B466:I466"/>
    <mergeCell ref="D468:F468"/>
    <mergeCell ref="B463:I463"/>
    <mergeCell ref="B479:I479"/>
    <mergeCell ref="D470:F470"/>
    <mergeCell ref="B472:I472"/>
    <mergeCell ref="B427:I427"/>
    <mergeCell ref="B431:I431"/>
    <mergeCell ref="C435:I435"/>
    <mergeCell ref="B506:I506"/>
    <mergeCell ref="C436:I436"/>
    <mergeCell ref="C437:I437"/>
    <mergeCell ref="B438:I438"/>
    <mergeCell ref="D496:F496"/>
    <mergeCell ref="B498:I498"/>
    <mergeCell ref="D495:F495"/>
    <mergeCell ref="B410:I410"/>
    <mergeCell ref="B419:I419"/>
    <mergeCell ref="C424:I424"/>
    <mergeCell ref="C425:I425"/>
    <mergeCell ref="C408:I408"/>
    <mergeCell ref="C409:I409"/>
    <mergeCell ref="B391:I391"/>
    <mergeCell ref="B394:I394"/>
    <mergeCell ref="C399:I399"/>
    <mergeCell ref="C400:I400"/>
    <mergeCell ref="B402:I402"/>
    <mergeCell ref="B406:I406"/>
    <mergeCell ref="A2:E2"/>
    <mergeCell ref="D193:F193"/>
    <mergeCell ref="D198:F198"/>
    <mergeCell ref="D199:F199"/>
    <mergeCell ref="D185:F185"/>
    <mergeCell ref="D186:F186"/>
    <mergeCell ref="C187:D187"/>
    <mergeCell ref="D194:F194"/>
    <mergeCell ref="D195:F195"/>
    <mergeCell ref="C196:D196"/>
    <mergeCell ref="B266:I266"/>
    <mergeCell ref="B314:F314"/>
    <mergeCell ref="B315:F315"/>
    <mergeCell ref="D161:F161"/>
    <mergeCell ref="C162:D162"/>
    <mergeCell ref="B251:I251"/>
    <mergeCell ref="D200:F200"/>
    <mergeCell ref="D248:F248"/>
    <mergeCell ref="B250:I250"/>
    <mergeCell ref="D168:F168"/>
    <mergeCell ref="D169:F169"/>
    <mergeCell ref="D188:F188"/>
    <mergeCell ref="B180:I180"/>
    <mergeCell ref="C182:D182"/>
    <mergeCell ref="D183:F183"/>
    <mergeCell ref="B172:I172"/>
    <mergeCell ref="B173:I173"/>
    <mergeCell ref="B174:I174"/>
    <mergeCell ref="B175:I175"/>
    <mergeCell ref="B176:I176"/>
    <mergeCell ref="B320:F320"/>
    <mergeCell ref="B359:I359"/>
    <mergeCell ref="B446:I446"/>
    <mergeCell ref="C369:D369"/>
    <mergeCell ref="B411:I411"/>
    <mergeCell ref="B412:I412"/>
    <mergeCell ref="B413:I413"/>
    <mergeCell ref="B414:I414"/>
    <mergeCell ref="B428:I428"/>
    <mergeCell ref="C407:I407"/>
    <mergeCell ref="B326:I326"/>
    <mergeCell ref="D339:F339"/>
    <mergeCell ref="D340:F340"/>
    <mergeCell ref="B331:I331"/>
    <mergeCell ref="B332:I332"/>
    <mergeCell ref="B335:I335"/>
    <mergeCell ref="D342:F342"/>
    <mergeCell ref="B269:I269"/>
    <mergeCell ref="B276:I276"/>
    <mergeCell ref="C337:D337"/>
    <mergeCell ref="D338:F338"/>
    <mergeCell ref="B305:I305"/>
    <mergeCell ref="B323:I323"/>
    <mergeCell ref="D325:F325"/>
    <mergeCell ref="B311:F311"/>
    <mergeCell ref="B319:F319"/>
    <mergeCell ref="B313:F313"/>
    <mergeCell ref="D343:F343"/>
    <mergeCell ref="C344:D344"/>
    <mergeCell ref="B321:F321"/>
    <mergeCell ref="B322:F322"/>
    <mergeCell ref="B327:I327"/>
    <mergeCell ref="B328:I328"/>
    <mergeCell ref="B329:I329"/>
    <mergeCell ref="B330:I330"/>
    <mergeCell ref="D341:F341"/>
    <mergeCell ref="D240:F240"/>
    <mergeCell ref="D243:F243"/>
    <mergeCell ref="C244:D244"/>
    <mergeCell ref="D245:F245"/>
    <mergeCell ref="C234:D234"/>
    <mergeCell ref="D235:F235"/>
    <mergeCell ref="D238:F238"/>
    <mergeCell ref="C239:D239"/>
    <mergeCell ref="D222:F222"/>
    <mergeCell ref="D223:F223"/>
    <mergeCell ref="B225:I225"/>
    <mergeCell ref="B232:I232"/>
    <mergeCell ref="D216:F216"/>
    <mergeCell ref="D217:F217"/>
    <mergeCell ref="C219:D219"/>
    <mergeCell ref="D220:F220"/>
    <mergeCell ref="D211:F211"/>
    <mergeCell ref="D212:F212"/>
    <mergeCell ref="C214:D214"/>
    <mergeCell ref="D215:F215"/>
    <mergeCell ref="B207:I207"/>
    <mergeCell ref="C209:D209"/>
    <mergeCell ref="D210:F210"/>
    <mergeCell ref="B204:I204"/>
    <mergeCell ref="B205:I205"/>
    <mergeCell ref="B157:I157"/>
    <mergeCell ref="B147:I147"/>
    <mergeCell ref="C159:D159"/>
    <mergeCell ref="B202:I202"/>
    <mergeCell ref="D163:F163"/>
    <mergeCell ref="D164:F164"/>
    <mergeCell ref="D165:F165"/>
    <mergeCell ref="C166:D166"/>
    <mergeCell ref="D167:F167"/>
    <mergeCell ref="D160:F160"/>
    <mergeCell ref="B132:I132"/>
    <mergeCell ref="B138:I138"/>
    <mergeCell ref="B150:I150"/>
    <mergeCell ref="B154:I154"/>
    <mergeCell ref="C127:D127"/>
    <mergeCell ref="D117:F117"/>
    <mergeCell ref="D118:F118"/>
    <mergeCell ref="B125:I125"/>
    <mergeCell ref="B40:I40"/>
    <mergeCell ref="C105:I105"/>
    <mergeCell ref="B85:I85"/>
    <mergeCell ref="B100:I100"/>
    <mergeCell ref="D102:F102"/>
    <mergeCell ref="B73:I73"/>
    <mergeCell ref="H75:H84"/>
    <mergeCell ref="B93:F93"/>
    <mergeCell ref="B96:I96"/>
    <mergeCell ref="B44:I44"/>
    <mergeCell ref="B34:G34"/>
    <mergeCell ref="E17:F17"/>
    <mergeCell ref="E19:F19"/>
    <mergeCell ref="E21:F21"/>
    <mergeCell ref="E22:F22"/>
    <mergeCell ref="E30:F30"/>
    <mergeCell ref="C31:C32"/>
    <mergeCell ref="E31:F31"/>
    <mergeCell ref="E32:F32"/>
    <mergeCell ref="E26:F26"/>
    <mergeCell ref="E27:F27"/>
    <mergeCell ref="C8:K8"/>
    <mergeCell ref="B10:J10"/>
    <mergeCell ref="B11:J11"/>
    <mergeCell ref="B16:F16"/>
    <mergeCell ref="E20:F20"/>
    <mergeCell ref="E25:F25"/>
    <mergeCell ref="C6:D6"/>
    <mergeCell ref="A3:G3"/>
    <mergeCell ref="I3:O3"/>
    <mergeCell ref="A5:B5"/>
    <mergeCell ref="C5:D5"/>
    <mergeCell ref="F5:H5"/>
    <mergeCell ref="I5:J5"/>
    <mergeCell ref="L5:N5"/>
    <mergeCell ref="F6:H6"/>
    <mergeCell ref="I6:J6"/>
    <mergeCell ref="D268:F268"/>
    <mergeCell ref="L6:N6"/>
    <mergeCell ref="C76:E76"/>
    <mergeCell ref="C79:E79"/>
    <mergeCell ref="B50:I50"/>
    <mergeCell ref="H52:H66"/>
    <mergeCell ref="B41:I41"/>
    <mergeCell ref="B42:I42"/>
    <mergeCell ref="B43:I43"/>
    <mergeCell ref="A6:B6"/>
    <mergeCell ref="C259:F259"/>
    <mergeCell ref="C260:F260"/>
    <mergeCell ref="C264:F264"/>
    <mergeCell ref="C265:F265"/>
    <mergeCell ref="B448:I448"/>
    <mergeCell ref="B540:I540"/>
    <mergeCell ref="B502:I502"/>
    <mergeCell ref="B503:I503"/>
    <mergeCell ref="D508:F508"/>
    <mergeCell ref="D509:F509"/>
    <mergeCell ref="D510:F510"/>
    <mergeCell ref="B513:I513"/>
    <mergeCell ref="B526:I526"/>
    <mergeCell ref="B527:I527"/>
    <mergeCell ref="C541:I541"/>
    <mergeCell ref="B532:I532"/>
    <mergeCell ref="C533:I533"/>
    <mergeCell ref="C534:I534"/>
    <mergeCell ref="B535:I535"/>
    <mergeCell ref="P446:AA446"/>
    <mergeCell ref="B499:I499"/>
    <mergeCell ref="B500:I500"/>
    <mergeCell ref="B501:I501"/>
    <mergeCell ref="B492:I492"/>
    <mergeCell ref="D494:F494"/>
    <mergeCell ref="D481:F481"/>
    <mergeCell ref="D482:F482"/>
    <mergeCell ref="D483:F483"/>
    <mergeCell ref="B485:I485"/>
    <mergeCell ref="B529:I529"/>
    <mergeCell ref="P520:V520"/>
    <mergeCell ref="B525:I525"/>
    <mergeCell ref="D523:F523"/>
    <mergeCell ref="B528:I528"/>
    <mergeCell ref="AB17:AC17"/>
    <mergeCell ref="B45:I45"/>
    <mergeCell ref="E55:F55"/>
    <mergeCell ref="E56:F56"/>
    <mergeCell ref="C28:C30"/>
    <mergeCell ref="E23:F23"/>
    <mergeCell ref="C24:C27"/>
    <mergeCell ref="E24:F24"/>
    <mergeCell ref="E28:F28"/>
    <mergeCell ref="E29:F29"/>
    <mergeCell ref="Q17:R17"/>
    <mergeCell ref="S17:T17"/>
    <mergeCell ref="U17:X17"/>
    <mergeCell ref="Y17:AA17"/>
    <mergeCell ref="E57:F57"/>
    <mergeCell ref="E58:F58"/>
    <mergeCell ref="E59:F59"/>
    <mergeCell ref="E60:F60"/>
    <mergeCell ref="E61:F61"/>
    <mergeCell ref="E62:F62"/>
    <mergeCell ref="E63:F63"/>
    <mergeCell ref="B68:I68"/>
    <mergeCell ref="B67:I67"/>
    <mergeCell ref="B69:I69"/>
    <mergeCell ref="B70:I70"/>
    <mergeCell ref="B71:I71"/>
    <mergeCell ref="B203:I203"/>
    <mergeCell ref="B171:I171"/>
    <mergeCell ref="C106:I106"/>
    <mergeCell ref="B120:I120"/>
    <mergeCell ref="B107:I107"/>
    <mergeCell ref="B111:I111"/>
    <mergeCell ref="D113:F113"/>
    <mergeCell ref="B91:I91"/>
    <mergeCell ref="B86:I86"/>
    <mergeCell ref="B133:I133"/>
    <mergeCell ref="B134:I134"/>
    <mergeCell ref="B87:I87"/>
    <mergeCell ref="B88:I88"/>
    <mergeCell ref="B89:I89"/>
    <mergeCell ref="B90:I90"/>
    <mergeCell ref="D114:F114"/>
    <mergeCell ref="C115:D115"/>
    <mergeCell ref="D184:F184"/>
    <mergeCell ref="B270:I270"/>
    <mergeCell ref="B271:I271"/>
    <mergeCell ref="B272:I272"/>
    <mergeCell ref="D197:F197"/>
    <mergeCell ref="D189:F189"/>
    <mergeCell ref="D190:F190"/>
    <mergeCell ref="D191:F191"/>
    <mergeCell ref="D192:F192"/>
    <mergeCell ref="B254:I254"/>
    <mergeCell ref="B273:I273"/>
    <mergeCell ref="D281:F281"/>
    <mergeCell ref="D282:F282"/>
    <mergeCell ref="D283:F283"/>
    <mergeCell ref="D284:F284"/>
    <mergeCell ref="D285:F285"/>
    <mergeCell ref="D286:F286"/>
    <mergeCell ref="D289:F289"/>
    <mergeCell ref="D290:F290"/>
    <mergeCell ref="D291:F291"/>
    <mergeCell ref="D292:F292"/>
    <mergeCell ref="D293:F293"/>
    <mergeCell ref="B297:I297"/>
    <mergeCell ref="B294:I294"/>
    <mergeCell ref="B298:I298"/>
    <mergeCell ref="B299:I299"/>
    <mergeCell ref="B300:I300"/>
    <mergeCell ref="B301:I301"/>
    <mergeCell ref="B350:F350"/>
    <mergeCell ref="B351:F351"/>
    <mergeCell ref="C349:D349"/>
    <mergeCell ref="B345:F345"/>
    <mergeCell ref="B346:F346"/>
    <mergeCell ref="B347:F347"/>
    <mergeCell ref="B348:F348"/>
    <mergeCell ref="B312:F312"/>
    <mergeCell ref="B352:F352"/>
    <mergeCell ref="B353:F353"/>
    <mergeCell ref="B360:I360"/>
    <mergeCell ref="B361:I361"/>
    <mergeCell ref="D357:F357"/>
    <mergeCell ref="D354:F354"/>
    <mergeCell ref="D355:F355"/>
    <mergeCell ref="D356:F356"/>
    <mergeCell ref="B387:I387"/>
    <mergeCell ref="C378:D378"/>
    <mergeCell ref="B385:I385"/>
    <mergeCell ref="D383:F383"/>
    <mergeCell ref="B384:I384"/>
    <mergeCell ref="B381:F381"/>
    <mergeCell ref="B362:I362"/>
    <mergeCell ref="B363:I363"/>
    <mergeCell ref="B386:I386"/>
    <mergeCell ref="B367:I367"/>
    <mergeCell ref="D370:F370"/>
    <mergeCell ref="D371:F371"/>
    <mergeCell ref="C372:D372"/>
    <mergeCell ref="B389:I389"/>
    <mergeCell ref="B388:I388"/>
    <mergeCell ref="B373:F373"/>
    <mergeCell ref="B374:F374"/>
    <mergeCell ref="B375:F375"/>
    <mergeCell ref="B377:F377"/>
    <mergeCell ref="B379:F379"/>
    <mergeCell ref="B380:F380"/>
    <mergeCell ref="B382:F382"/>
    <mergeCell ref="B376:F376"/>
  </mergeCells>
  <conditionalFormatting sqref="G127">
    <cfRule type="expression" priority="1" dxfId="6" stopIfTrue="1">
      <formula>G127=""</formula>
    </cfRule>
    <cfRule type="expression" priority="2" dxfId="1" stopIfTrue="1">
      <formula>ISNUMBER(G127)=FALSE</formula>
    </cfRule>
    <cfRule type="expression" priority="3" dxfId="1" stopIfTrue="1">
      <formula>G127&lt;0</formula>
    </cfRule>
  </conditionalFormatting>
  <conditionalFormatting sqref="K32 K30 I22:I32 G22:G32">
    <cfRule type="expression" priority="4" dxfId="7" stopIfTrue="1">
      <formula>G22=""</formula>
    </cfRule>
    <cfRule type="cellIs" priority="5" dxfId="1" operator="lessThanOrEqual" stopIfTrue="1">
      <formula>0</formula>
    </cfRule>
    <cfRule type="expression" priority="6" dxfId="1" stopIfTrue="1">
      <formula>ISNUMBER(G22)=FALSE</formula>
    </cfRule>
  </conditionalFormatting>
  <conditionalFormatting sqref="K20">
    <cfRule type="expression" priority="7" dxfId="7" stopIfTrue="1">
      <formula>K20=""</formula>
    </cfRule>
    <cfRule type="cellIs" priority="8" dxfId="1" operator="lessThan" stopIfTrue="1">
      <formula>0</formula>
    </cfRule>
    <cfRule type="expression" priority="9" dxfId="1" stopIfTrue="1">
      <formula>ISNUMBER(K20)=FALSE</formula>
    </cfRule>
  </conditionalFormatting>
  <printOptions/>
  <pageMargins left="0.17" right="0.17" top="0.3" bottom="0.29" header="0.17" footer="0.17"/>
  <pageSetup horizontalDpi="600" verticalDpi="600" orientation="landscape" paperSize="9" scale="80" r:id="rId4"/>
  <rowBreaks count="13" manualBreakCount="13">
    <brk id="39" max="14" man="1"/>
    <brk id="72" max="14" man="1"/>
    <brk id="110" max="14" man="1"/>
    <brk id="179" max="14" man="1"/>
    <brk id="206" max="14" man="1"/>
    <brk id="253" max="14" man="1"/>
    <brk id="275" max="14" man="1"/>
    <brk id="318" max="14" man="1"/>
    <brk id="358" max="14" man="1"/>
    <brk id="390" max="14" man="1"/>
    <brk id="430" max="14" man="1"/>
    <brk id="478" max="14" man="1"/>
    <brk id="519" max="14" man="1"/>
  </rowBreaks>
  <drawing r:id="rId3"/>
  <legacyDrawing r:id="rId2"/>
</worksheet>
</file>

<file path=xl/worksheets/sheet7.xml><?xml version="1.0" encoding="utf-8"?>
<worksheet xmlns="http://schemas.openxmlformats.org/spreadsheetml/2006/main" xmlns:r="http://schemas.openxmlformats.org/officeDocument/2006/relationships">
  <sheetPr codeName="Sheet11">
    <pageSetUpPr fitToPage="1"/>
  </sheetPr>
  <dimension ref="A1:P109"/>
  <sheetViews>
    <sheetView showGridLines="0" workbookViewId="0" topLeftCell="A1">
      <selection activeCell="Q18" sqref="Q18"/>
    </sheetView>
  </sheetViews>
  <sheetFormatPr defaultColWidth="9.140625" defaultRowHeight="12.75"/>
  <cols>
    <col min="1" max="2" width="9.140625" style="3" customWidth="1"/>
    <col min="3" max="4" width="13.28125" style="3" customWidth="1"/>
    <col min="5" max="5" width="9.140625" style="3" customWidth="1"/>
    <col min="6" max="6" width="10.421875" style="3" customWidth="1"/>
    <col min="7" max="8" width="11.140625" style="3" customWidth="1"/>
    <col min="9" max="9" width="6.00390625" style="3" customWidth="1"/>
    <col min="10" max="10" width="5.140625" style="3" customWidth="1"/>
    <col min="11" max="11" width="9.140625" style="3" customWidth="1"/>
    <col min="12" max="12" width="4.140625" style="3" customWidth="1"/>
    <col min="13" max="15" width="12.140625" style="3" customWidth="1"/>
    <col min="16" max="16384" width="9.140625" style="3" customWidth="1"/>
  </cols>
  <sheetData>
    <row r="1" ht="12.75">
      <c r="A1" s="2" t="s">
        <v>801</v>
      </c>
    </row>
    <row r="2" ht="13.5" thickBot="1"/>
    <row r="3" spans="1:15" ht="18" thickBot="1">
      <c r="A3" s="1338" t="s">
        <v>802</v>
      </c>
      <c r="B3" s="1339"/>
      <c r="C3" s="1339"/>
      <c r="D3" s="1339"/>
      <c r="E3" s="1339"/>
      <c r="F3" s="1339"/>
      <c r="G3" s="1339"/>
      <c r="H3" s="4"/>
      <c r="I3" s="1340" t="s">
        <v>803</v>
      </c>
      <c r="J3" s="1340"/>
      <c r="K3" s="1340"/>
      <c r="L3" s="1340"/>
      <c r="M3" s="1340"/>
      <c r="N3" s="1340"/>
      <c r="O3" s="1341"/>
    </row>
    <row r="4" spans="3:15" ht="15.75" thickBot="1">
      <c r="C4" s="5"/>
      <c r="D4" s="5"/>
      <c r="E4" s="5"/>
      <c r="G4" s="6"/>
      <c r="I4" s="7"/>
      <c r="K4" s="8"/>
      <c r="M4" s="9"/>
      <c r="O4" s="6"/>
    </row>
    <row r="5" spans="1:15" ht="34.5" customHeight="1" thickBot="1">
      <c r="A5" s="1335" t="s">
        <v>804</v>
      </c>
      <c r="B5" s="1325"/>
      <c r="C5" s="1156" t="s">
        <v>805</v>
      </c>
      <c r="D5" s="1342"/>
      <c r="E5" s="11" t="s">
        <v>806</v>
      </c>
      <c r="F5" s="1343" t="s">
        <v>807</v>
      </c>
      <c r="G5" s="1008"/>
      <c r="H5" s="1009"/>
      <c r="I5" s="1344" t="s">
        <v>808</v>
      </c>
      <c r="J5" s="1345"/>
      <c r="K5" s="12">
        <v>334</v>
      </c>
      <c r="L5" s="1323" t="s">
        <v>809</v>
      </c>
      <c r="M5" s="1431"/>
      <c r="N5" s="1427">
        <f>+'Table 4'!O5</f>
        <v>0</v>
      </c>
      <c r="O5" s="1428"/>
    </row>
    <row r="6" spans="1:15" ht="13.5" thickBot="1">
      <c r="A6" s="1335" t="s">
        <v>810</v>
      </c>
      <c r="B6" s="1325"/>
      <c r="C6" s="1336">
        <f>+'Table 4'!T4_Contact</f>
        <v>0</v>
      </c>
      <c r="D6" s="1432"/>
      <c r="E6" s="13" t="s">
        <v>811</v>
      </c>
      <c r="F6" s="1346" t="s">
        <v>812</v>
      </c>
      <c r="G6" s="1347"/>
      <c r="H6" s="1348"/>
      <c r="I6" s="1349" t="s">
        <v>813</v>
      </c>
      <c r="J6" s="1350"/>
      <c r="K6" s="14">
        <v>1</v>
      </c>
      <c r="L6" s="1323" t="s">
        <v>814</v>
      </c>
      <c r="M6" s="1431"/>
      <c r="N6" s="1429" t="s">
        <v>815</v>
      </c>
      <c r="O6" s="1430"/>
    </row>
    <row r="7" ht="12.75"/>
    <row r="8" spans="1:15" ht="12.75">
      <c r="A8" s="15"/>
      <c r="B8" s="15"/>
      <c r="C8" s="15"/>
      <c r="D8" s="15"/>
      <c r="E8" s="15"/>
      <c r="F8" s="15"/>
      <c r="G8" s="15"/>
      <c r="H8" s="15"/>
      <c r="I8" s="15"/>
      <c r="J8" s="15"/>
      <c r="K8" s="15"/>
      <c r="L8" s="15"/>
      <c r="M8" s="15"/>
      <c r="N8" s="15"/>
      <c r="O8" s="16"/>
    </row>
    <row r="9" spans="1:16" ht="21" customHeight="1">
      <c r="A9" s="1426" t="s">
        <v>816</v>
      </c>
      <c r="B9" s="1426"/>
      <c r="C9" s="1426"/>
      <c r="D9" s="1426"/>
      <c r="E9" s="1426"/>
      <c r="F9" s="1426"/>
      <c r="G9" s="1426"/>
      <c r="H9" s="1426"/>
      <c r="I9" s="1426"/>
      <c r="J9" s="1426"/>
      <c r="K9" s="1426"/>
      <c r="L9" s="1426"/>
      <c r="M9" s="17"/>
      <c r="N9" s="17"/>
      <c r="O9" s="17"/>
      <c r="P9" s="15"/>
    </row>
    <row r="10" spans="1:16" ht="25.5" customHeight="1">
      <c r="A10" s="1424" t="s">
        <v>0</v>
      </c>
      <c r="B10" s="1424"/>
      <c r="C10" s="1424"/>
      <c r="D10" s="1424"/>
      <c r="E10" s="1424"/>
      <c r="F10" s="1424"/>
      <c r="G10" s="1424"/>
      <c r="H10" s="1424"/>
      <c r="I10" s="1424"/>
      <c r="J10" s="1424"/>
      <c r="K10" s="1424"/>
      <c r="L10" s="1425"/>
      <c r="M10" s="18" t="s">
        <v>1</v>
      </c>
      <c r="N10" s="18" t="s">
        <v>2</v>
      </c>
      <c r="O10" s="19" t="s">
        <v>3</v>
      </c>
      <c r="P10" s="15"/>
    </row>
    <row r="11" spans="1:16" ht="12.75">
      <c r="A11" s="1405" t="s">
        <v>4</v>
      </c>
      <c r="B11" s="1406"/>
      <c r="C11" s="1406"/>
      <c r="D11" s="1406"/>
      <c r="E11" s="1406"/>
      <c r="F11" s="1406"/>
      <c r="G11" s="1406"/>
      <c r="H11" s="1406"/>
      <c r="I11" s="1406"/>
      <c r="J11" s="1406"/>
      <c r="K11" s="1406"/>
      <c r="L11" s="1407"/>
      <c r="M11" s="22">
        <f>'Table 3a'!AC101</f>
        <v>38845846.96</v>
      </c>
      <c r="N11" s="22">
        <f>'Table 4'!K30</f>
        <v>38845846.96</v>
      </c>
      <c r="O11" s="23">
        <f aca="true" t="shared" si="0" ref="O11:O68">ABS(M11-N11)</f>
        <v>0</v>
      </c>
      <c r="P11" s="15"/>
    </row>
    <row r="12" spans="1:16" ht="12.75">
      <c r="A12" s="1405" t="s">
        <v>5</v>
      </c>
      <c r="B12" s="1406"/>
      <c r="C12" s="1406"/>
      <c r="D12" s="1406"/>
      <c r="E12" s="1406"/>
      <c r="F12" s="1406"/>
      <c r="G12" s="1406"/>
      <c r="H12" s="1406"/>
      <c r="I12" s="1406"/>
      <c r="J12" s="1406"/>
      <c r="K12" s="1406"/>
      <c r="L12" s="1407"/>
      <c r="M12" s="22">
        <f>'Table 3a'!AC126</f>
        <v>40144774.89</v>
      </c>
      <c r="N12" s="22">
        <f>'Table 4'!K32</f>
        <v>40144774.89</v>
      </c>
      <c r="O12" s="23">
        <f t="shared" si="0"/>
        <v>0</v>
      </c>
      <c r="P12" s="15"/>
    </row>
    <row r="13" spans="1:16" ht="12.75">
      <c r="A13" s="24" t="s">
        <v>6</v>
      </c>
      <c r="B13" s="24"/>
      <c r="C13" s="24"/>
      <c r="D13" s="24"/>
      <c r="E13" s="24"/>
      <c r="F13" s="24"/>
      <c r="G13" s="20"/>
      <c r="H13" s="20"/>
      <c r="I13" s="20"/>
      <c r="J13" s="20"/>
      <c r="K13" s="20"/>
      <c r="L13" s="21"/>
      <c r="M13" s="22">
        <f>'Table 3a'!AD23</f>
        <v>0</v>
      </c>
      <c r="N13" s="22">
        <f>'Table 4'!K64</f>
        <v>0</v>
      </c>
      <c r="O13" s="23">
        <f t="shared" si="0"/>
        <v>0</v>
      </c>
      <c r="P13" s="15"/>
    </row>
    <row r="14" spans="1:16" ht="12.75">
      <c r="A14" s="24" t="s">
        <v>7</v>
      </c>
      <c r="B14" s="24"/>
      <c r="C14" s="24"/>
      <c r="D14" s="24"/>
      <c r="E14" s="24"/>
      <c r="F14" s="24"/>
      <c r="G14" s="20"/>
      <c r="H14" s="20"/>
      <c r="I14" s="20"/>
      <c r="J14" s="20"/>
      <c r="K14" s="20"/>
      <c r="L14" s="21"/>
      <c r="M14" s="22">
        <f>'Table 3a'!AD101</f>
        <v>2817553.9000000004</v>
      </c>
      <c r="N14" s="22">
        <f>'Table 4'!K66</f>
        <v>2817553.9000000004</v>
      </c>
      <c r="O14" s="23">
        <f t="shared" si="0"/>
        <v>0</v>
      </c>
      <c r="P14" s="15"/>
    </row>
    <row r="15" spans="1:16" ht="12.75">
      <c r="A15" s="1405" t="s">
        <v>8</v>
      </c>
      <c r="B15" s="1406"/>
      <c r="C15" s="1406"/>
      <c r="D15" s="1406"/>
      <c r="E15" s="1406"/>
      <c r="F15" s="1406"/>
      <c r="G15" s="1406"/>
      <c r="H15" s="1406"/>
      <c r="I15" s="1406"/>
      <c r="J15" s="1406"/>
      <c r="K15" s="1406"/>
      <c r="L15" s="1407"/>
      <c r="M15" s="22">
        <f>'Table 3a'!AE23</f>
        <v>0</v>
      </c>
      <c r="N15" s="22">
        <f>'Table 4'!K75</f>
        <v>0</v>
      </c>
      <c r="O15" s="23">
        <f t="shared" si="0"/>
        <v>0</v>
      </c>
      <c r="P15" s="15"/>
    </row>
    <row r="16" spans="1:16" ht="12.75">
      <c r="A16" s="1405" t="s">
        <v>9</v>
      </c>
      <c r="B16" s="1406"/>
      <c r="C16" s="1406"/>
      <c r="D16" s="1406"/>
      <c r="E16" s="1406"/>
      <c r="F16" s="1406"/>
      <c r="G16" s="1406"/>
      <c r="H16" s="1406"/>
      <c r="I16" s="1406"/>
      <c r="J16" s="1406"/>
      <c r="K16" s="1406"/>
      <c r="L16" s="1407"/>
      <c r="M16" s="22">
        <f>'Table 3a'!AE101</f>
        <v>0</v>
      </c>
      <c r="N16" s="22">
        <f>'Table 4'!K77</f>
        <v>0</v>
      </c>
      <c r="O16" s="23">
        <f t="shared" si="0"/>
        <v>0</v>
      </c>
      <c r="P16" s="15"/>
    </row>
    <row r="17" spans="1:16" ht="12.75">
      <c r="A17" s="1405" t="s">
        <v>10</v>
      </c>
      <c r="B17" s="1406"/>
      <c r="C17" s="1406"/>
      <c r="D17" s="1406"/>
      <c r="E17" s="1406"/>
      <c r="F17" s="1406"/>
      <c r="G17" s="1406"/>
      <c r="H17" s="1406"/>
      <c r="I17" s="1406"/>
      <c r="J17" s="1406"/>
      <c r="K17" s="1406"/>
      <c r="L17" s="1407"/>
      <c r="M17" s="22">
        <f>'Table 3a'!AF23</f>
        <v>0</v>
      </c>
      <c r="N17" s="22">
        <f>'Table 4'!K80</f>
        <v>0</v>
      </c>
      <c r="O17" s="23">
        <f t="shared" si="0"/>
        <v>0</v>
      </c>
      <c r="P17" s="15"/>
    </row>
    <row r="18" spans="1:16" ht="12.75">
      <c r="A18" s="1405" t="s">
        <v>11</v>
      </c>
      <c r="B18" s="1406"/>
      <c r="C18" s="1406"/>
      <c r="D18" s="1406"/>
      <c r="E18" s="1406"/>
      <c r="F18" s="1406"/>
      <c r="G18" s="1406"/>
      <c r="H18" s="1406"/>
      <c r="I18" s="1406"/>
      <c r="J18" s="1406"/>
      <c r="K18" s="1406"/>
      <c r="L18" s="1407"/>
      <c r="M18" s="22">
        <f>'Table 3a'!AF101</f>
        <v>550175</v>
      </c>
      <c r="N18" s="22">
        <f>'Table 4'!K82</f>
        <v>550175</v>
      </c>
      <c r="O18" s="23">
        <f t="shared" si="0"/>
        <v>0</v>
      </c>
      <c r="P18" s="15"/>
    </row>
    <row r="19" spans="1:16" ht="12.75">
      <c r="A19" s="1405" t="s">
        <v>12</v>
      </c>
      <c r="B19" s="1406"/>
      <c r="C19" s="1406"/>
      <c r="D19" s="1406"/>
      <c r="E19" s="1406"/>
      <c r="F19" s="1406"/>
      <c r="G19" s="1406"/>
      <c r="H19" s="1406"/>
      <c r="I19" s="1406"/>
      <c r="J19" s="1406"/>
      <c r="K19" s="1406"/>
      <c r="L19" s="1407"/>
      <c r="M19" s="22">
        <f>'Table 3a'!AH126</f>
        <v>0</v>
      </c>
      <c r="N19" s="22">
        <f>'Table 4'!K106</f>
        <v>0</v>
      </c>
      <c r="O19" s="23">
        <f t="shared" si="0"/>
        <v>0</v>
      </c>
      <c r="P19" s="15"/>
    </row>
    <row r="20" spans="1:16" ht="12.75">
      <c r="A20" s="1405" t="s">
        <v>13</v>
      </c>
      <c r="B20" s="1406"/>
      <c r="C20" s="1406"/>
      <c r="D20" s="1406"/>
      <c r="E20" s="1406"/>
      <c r="F20" s="1406"/>
      <c r="G20" s="1406"/>
      <c r="H20" s="1406"/>
      <c r="I20" s="1406"/>
      <c r="J20" s="1406"/>
      <c r="K20" s="1406"/>
      <c r="L20" s="1407"/>
      <c r="M20" s="22">
        <f>'Table 3a'!AI23</f>
        <v>0</v>
      </c>
      <c r="N20" s="22">
        <f>'Table 4'!K114</f>
        <v>0</v>
      </c>
      <c r="O20" s="23">
        <f t="shared" si="0"/>
        <v>0</v>
      </c>
      <c r="P20" s="15"/>
    </row>
    <row r="21" spans="1:16" ht="12.75">
      <c r="A21" s="1405" t="s">
        <v>14</v>
      </c>
      <c r="B21" s="1406"/>
      <c r="C21" s="1406"/>
      <c r="D21" s="1406"/>
      <c r="E21" s="1406"/>
      <c r="F21" s="1406"/>
      <c r="G21" s="1406"/>
      <c r="H21" s="1406"/>
      <c r="I21" s="1406"/>
      <c r="J21" s="1406"/>
      <c r="K21" s="1406"/>
      <c r="L21" s="1407"/>
      <c r="M21" s="22">
        <f>'Table 3a'!AI101</f>
        <v>0</v>
      </c>
      <c r="N21" s="22">
        <f>'Table 4'!K116</f>
        <v>0</v>
      </c>
      <c r="O21" s="23">
        <f t="shared" si="0"/>
        <v>0</v>
      </c>
      <c r="P21" s="15"/>
    </row>
    <row r="22" spans="1:16" ht="12.75">
      <c r="A22" s="1405" t="s">
        <v>15</v>
      </c>
      <c r="B22" s="1406"/>
      <c r="C22" s="1406"/>
      <c r="D22" s="1406"/>
      <c r="E22" s="1406"/>
      <c r="F22" s="1406"/>
      <c r="G22" s="1406"/>
      <c r="H22" s="1406"/>
      <c r="I22" s="1406"/>
      <c r="J22" s="1406"/>
      <c r="K22" s="1406"/>
      <c r="L22" s="1407"/>
      <c r="M22" s="22">
        <f>'Table 3a'!AI126</f>
        <v>0</v>
      </c>
      <c r="N22" s="22">
        <f>'Table 4'!K118</f>
        <v>0</v>
      </c>
      <c r="O22" s="23">
        <f t="shared" si="0"/>
        <v>0</v>
      </c>
      <c r="P22" s="15"/>
    </row>
    <row r="23" spans="1:16" ht="12.75">
      <c r="A23" s="1405" t="s">
        <v>16</v>
      </c>
      <c r="B23" s="1406"/>
      <c r="C23" s="1406"/>
      <c r="D23" s="1406"/>
      <c r="E23" s="1406"/>
      <c r="F23" s="1406"/>
      <c r="G23" s="1406"/>
      <c r="H23" s="1406"/>
      <c r="I23" s="1406"/>
      <c r="J23" s="1406"/>
      <c r="K23" s="1406"/>
      <c r="L23" s="1407"/>
      <c r="M23" s="22">
        <f>'Table 3a'!AK126</f>
        <v>5029418</v>
      </c>
      <c r="N23" s="22">
        <f>'Table 4'!K130</f>
        <v>5029418</v>
      </c>
      <c r="O23" s="23">
        <f t="shared" si="0"/>
        <v>0</v>
      </c>
      <c r="P23" s="15"/>
    </row>
    <row r="24" spans="1:16" ht="12.75">
      <c r="A24" s="25" t="s">
        <v>17</v>
      </c>
      <c r="B24" s="24"/>
      <c r="C24" s="24"/>
      <c r="D24" s="24"/>
      <c r="E24" s="24"/>
      <c r="F24" s="20"/>
      <c r="G24" s="20"/>
      <c r="H24" s="20"/>
      <c r="I24" s="20"/>
      <c r="J24" s="20"/>
      <c r="K24" s="20"/>
      <c r="L24" s="21"/>
      <c r="M24" s="22">
        <f>'Table 3a'!AO23</f>
        <v>0</v>
      </c>
      <c r="N24" s="22">
        <f>'Table 4'!K142</f>
        <v>0</v>
      </c>
      <c r="O24" s="23">
        <f t="shared" si="0"/>
        <v>0</v>
      </c>
      <c r="P24" s="15"/>
    </row>
    <row r="25" spans="1:16" ht="12.75">
      <c r="A25" s="25" t="s">
        <v>18</v>
      </c>
      <c r="B25" s="24"/>
      <c r="C25" s="24"/>
      <c r="D25" s="24"/>
      <c r="E25" s="24"/>
      <c r="F25" s="20"/>
      <c r="G25" s="20"/>
      <c r="H25" s="20"/>
      <c r="I25" s="20"/>
      <c r="J25" s="20"/>
      <c r="K25" s="20"/>
      <c r="L25" s="21"/>
      <c r="M25" s="22">
        <f>'Table 3a'!AO101</f>
        <v>0</v>
      </c>
      <c r="N25" s="22">
        <f>'Table 4'!K145</f>
        <v>0</v>
      </c>
      <c r="O25" s="23">
        <f t="shared" si="0"/>
        <v>0</v>
      </c>
      <c r="P25" s="15"/>
    </row>
    <row r="26" spans="1:16" ht="12.75">
      <c r="A26" s="25" t="s">
        <v>19</v>
      </c>
      <c r="B26" s="24"/>
      <c r="C26" s="24"/>
      <c r="D26" s="24"/>
      <c r="E26" s="24"/>
      <c r="F26" s="20"/>
      <c r="G26" s="20"/>
      <c r="H26" s="20"/>
      <c r="I26" s="20"/>
      <c r="J26" s="20"/>
      <c r="K26" s="20"/>
      <c r="L26" s="21"/>
      <c r="M26" s="22">
        <f>'Table 3a'!AO126</f>
        <v>0</v>
      </c>
      <c r="N26" s="22">
        <f>'Table 4'!K148</f>
        <v>0</v>
      </c>
      <c r="O26" s="23">
        <f t="shared" si="0"/>
        <v>0</v>
      </c>
      <c r="P26" s="15"/>
    </row>
    <row r="27" spans="1:16" ht="12.75">
      <c r="A27" s="1405" t="s">
        <v>20</v>
      </c>
      <c r="B27" s="1406"/>
      <c r="C27" s="1406"/>
      <c r="D27" s="1406"/>
      <c r="E27" s="1406"/>
      <c r="F27" s="1406"/>
      <c r="G27" s="1406"/>
      <c r="H27" s="1406"/>
      <c r="I27" s="1406"/>
      <c r="J27" s="1406"/>
      <c r="K27" s="1406"/>
      <c r="L27" s="1407"/>
      <c r="M27" s="22">
        <f>'Table 3a'!AP23</f>
        <v>0</v>
      </c>
      <c r="N27" s="22">
        <f>'Table 4'!K161</f>
        <v>0</v>
      </c>
      <c r="O27" s="23">
        <f t="shared" si="0"/>
        <v>0</v>
      </c>
      <c r="P27" s="15"/>
    </row>
    <row r="28" spans="1:16" ht="12.75">
      <c r="A28" s="1405" t="s">
        <v>21</v>
      </c>
      <c r="B28" s="1406"/>
      <c r="C28" s="1406"/>
      <c r="D28" s="1406"/>
      <c r="E28" s="1406"/>
      <c r="F28" s="1406"/>
      <c r="G28" s="1406"/>
      <c r="H28" s="1406"/>
      <c r="I28" s="1406"/>
      <c r="J28" s="1406"/>
      <c r="K28" s="1406"/>
      <c r="L28" s="1407"/>
      <c r="M28" s="22">
        <f>'Table 3a'!AP101</f>
        <v>943991</v>
      </c>
      <c r="N28" s="22">
        <f>'Table 4'!K165</f>
        <v>943991</v>
      </c>
      <c r="O28" s="23">
        <f t="shared" si="0"/>
        <v>0</v>
      </c>
      <c r="P28" s="15"/>
    </row>
    <row r="29" spans="1:16" ht="12.75">
      <c r="A29" s="1405" t="s">
        <v>22</v>
      </c>
      <c r="B29" s="1406"/>
      <c r="C29" s="1406"/>
      <c r="D29" s="1406"/>
      <c r="E29" s="1406"/>
      <c r="F29" s="1406"/>
      <c r="G29" s="1406"/>
      <c r="H29" s="1406"/>
      <c r="I29" s="1406"/>
      <c r="J29" s="1406"/>
      <c r="K29" s="1406"/>
      <c r="L29" s="1407"/>
      <c r="M29" s="22">
        <f>'Table 3a'!AP126</f>
        <v>675524</v>
      </c>
      <c r="N29" s="22">
        <f>'Table 4'!K169</f>
        <v>675524</v>
      </c>
      <c r="O29" s="23">
        <f t="shared" si="0"/>
        <v>0</v>
      </c>
      <c r="P29" s="15"/>
    </row>
    <row r="30" spans="1:16" ht="12.75">
      <c r="A30" s="1405" t="s">
        <v>23</v>
      </c>
      <c r="B30" s="1406"/>
      <c r="C30" s="1406"/>
      <c r="D30" s="1406"/>
      <c r="E30" s="1406"/>
      <c r="F30" s="1406"/>
      <c r="G30" s="1406"/>
      <c r="H30" s="1406"/>
      <c r="I30" s="1406"/>
      <c r="J30" s="1406"/>
      <c r="K30" s="1406"/>
      <c r="L30" s="1407"/>
      <c r="M30" s="22">
        <f>'Table 3a'!AR23</f>
        <v>0</v>
      </c>
      <c r="N30" s="22">
        <f>'Table 4'!K186</f>
        <v>0</v>
      </c>
      <c r="O30" s="23">
        <f t="shared" si="0"/>
        <v>0</v>
      </c>
      <c r="P30" s="15"/>
    </row>
    <row r="31" spans="1:16" ht="12.75">
      <c r="A31" s="1405" t="s">
        <v>24</v>
      </c>
      <c r="B31" s="1406"/>
      <c r="C31" s="1406"/>
      <c r="D31" s="1406"/>
      <c r="E31" s="1406"/>
      <c r="F31" s="1406"/>
      <c r="G31" s="1406"/>
      <c r="H31" s="1406"/>
      <c r="I31" s="1406"/>
      <c r="J31" s="1406"/>
      <c r="K31" s="1406"/>
      <c r="L31" s="1407"/>
      <c r="M31" s="22">
        <f>'Table 3a'!AR101+'Table 3a'!AQ94</f>
        <v>1568567</v>
      </c>
      <c r="N31" s="22">
        <f>'Table 4'!K195</f>
        <v>1568567</v>
      </c>
      <c r="O31" s="23">
        <f t="shared" si="0"/>
        <v>0</v>
      </c>
      <c r="P31" s="15"/>
    </row>
    <row r="32" spans="1:16" ht="12" customHeight="1">
      <c r="A32" s="1405" t="s">
        <v>25</v>
      </c>
      <c r="B32" s="1406"/>
      <c r="C32" s="1406"/>
      <c r="D32" s="1406"/>
      <c r="E32" s="1406"/>
      <c r="F32" s="1406"/>
      <c r="G32" s="1406"/>
      <c r="H32" s="1406"/>
      <c r="I32" s="1406"/>
      <c r="J32" s="1406"/>
      <c r="K32" s="1406"/>
      <c r="L32" s="1407"/>
      <c r="M32" s="22">
        <f>'Table 3a'!AR126+'Table 3a'!AQ119</f>
        <v>1479501</v>
      </c>
      <c r="N32" s="22">
        <f>'Table 4'!K200</f>
        <v>1479501</v>
      </c>
      <c r="O32" s="23">
        <f t="shared" si="0"/>
        <v>0</v>
      </c>
      <c r="P32" s="15"/>
    </row>
    <row r="33" spans="1:16" ht="12.75" customHeight="1">
      <c r="A33" s="1405" t="s">
        <v>26</v>
      </c>
      <c r="B33" s="1406"/>
      <c r="C33" s="1406"/>
      <c r="D33" s="1406"/>
      <c r="E33" s="1406"/>
      <c r="F33" s="1406"/>
      <c r="G33" s="1406"/>
      <c r="H33" s="1406"/>
      <c r="I33" s="1406"/>
      <c r="J33" s="1406"/>
      <c r="K33" s="1406"/>
      <c r="L33" s="1407"/>
      <c r="M33" s="22">
        <f>'Table 3a'!AS23</f>
        <v>0</v>
      </c>
      <c r="N33" s="22">
        <f>'Table 4'!K212</f>
        <v>0</v>
      </c>
      <c r="O33" s="23">
        <f t="shared" si="0"/>
        <v>0</v>
      </c>
      <c r="P33" s="15"/>
    </row>
    <row r="34" spans="1:16" ht="12.75" customHeight="1">
      <c r="A34" s="1405" t="s">
        <v>27</v>
      </c>
      <c r="B34" s="1406"/>
      <c r="C34" s="1406"/>
      <c r="D34" s="1406"/>
      <c r="E34" s="1406"/>
      <c r="F34" s="1406"/>
      <c r="G34" s="1406"/>
      <c r="H34" s="1406"/>
      <c r="I34" s="1406"/>
      <c r="J34" s="1406"/>
      <c r="K34" s="1406"/>
      <c r="L34" s="1407"/>
      <c r="M34" s="22">
        <f>'Table 3a'!AS101</f>
        <v>0</v>
      </c>
      <c r="N34" s="22">
        <f>'Table 4'!K217</f>
        <v>0</v>
      </c>
      <c r="O34" s="23">
        <f t="shared" si="0"/>
        <v>0</v>
      </c>
      <c r="P34" s="15"/>
    </row>
    <row r="35" spans="1:16" ht="12.75" customHeight="1">
      <c r="A35" s="1405" t="s">
        <v>28</v>
      </c>
      <c r="B35" s="1406"/>
      <c r="C35" s="1406"/>
      <c r="D35" s="1406"/>
      <c r="E35" s="1406"/>
      <c r="F35" s="1406"/>
      <c r="G35" s="1406"/>
      <c r="H35" s="1406"/>
      <c r="I35" s="1406"/>
      <c r="J35" s="1406"/>
      <c r="K35" s="1406"/>
      <c r="L35" s="1407"/>
      <c r="M35" s="22">
        <f>'Table 3a'!AS126</f>
        <v>0</v>
      </c>
      <c r="N35" s="22">
        <f>'Table 4'!K223</f>
        <v>0</v>
      </c>
      <c r="O35" s="23">
        <f t="shared" si="0"/>
        <v>0</v>
      </c>
      <c r="P35" s="15"/>
    </row>
    <row r="36" spans="1:16" ht="12.75">
      <c r="A36" s="1405" t="s">
        <v>29</v>
      </c>
      <c r="B36" s="1406"/>
      <c r="C36" s="1406"/>
      <c r="D36" s="1406"/>
      <c r="E36" s="1406"/>
      <c r="F36" s="1406"/>
      <c r="G36" s="1406"/>
      <c r="H36" s="1406"/>
      <c r="I36" s="1406"/>
      <c r="J36" s="1406"/>
      <c r="K36" s="1406"/>
      <c r="L36" s="1407"/>
      <c r="M36" s="22">
        <f>'Table 3a'!AT23</f>
        <v>0</v>
      </c>
      <c r="N36" s="22">
        <f>'Table 4'!K238</f>
        <v>0</v>
      </c>
      <c r="O36" s="23">
        <f t="shared" si="0"/>
        <v>0</v>
      </c>
      <c r="P36" s="15"/>
    </row>
    <row r="37" spans="1:16" ht="12.75">
      <c r="A37" s="1405" t="s">
        <v>30</v>
      </c>
      <c r="B37" s="1406"/>
      <c r="C37" s="1406"/>
      <c r="D37" s="1406"/>
      <c r="E37" s="1406"/>
      <c r="F37" s="1406"/>
      <c r="G37" s="1406"/>
      <c r="H37" s="1406"/>
      <c r="I37" s="1406"/>
      <c r="J37" s="1406"/>
      <c r="K37" s="1406"/>
      <c r="L37" s="1407"/>
      <c r="M37" s="22">
        <f>'Table 3a'!AT101</f>
        <v>315641</v>
      </c>
      <c r="N37" s="22">
        <f>'Table 4'!K243</f>
        <v>315641</v>
      </c>
      <c r="O37" s="23">
        <f t="shared" si="0"/>
        <v>0</v>
      </c>
      <c r="P37" s="15"/>
    </row>
    <row r="38" spans="1:16" ht="12.75">
      <c r="A38" s="1405" t="s">
        <v>31</v>
      </c>
      <c r="B38" s="1406"/>
      <c r="C38" s="1406"/>
      <c r="D38" s="1406"/>
      <c r="E38" s="1406"/>
      <c r="F38" s="1406"/>
      <c r="G38" s="1406"/>
      <c r="H38" s="1406"/>
      <c r="I38" s="1406"/>
      <c r="J38" s="1406"/>
      <c r="K38" s="1406"/>
      <c r="L38" s="1407"/>
      <c r="M38" s="22">
        <f>'Table 3a'!AT126</f>
        <v>1021343</v>
      </c>
      <c r="N38" s="22">
        <f>'Table 4'!K248</f>
        <v>1021343</v>
      </c>
      <c r="O38" s="23">
        <f t="shared" si="0"/>
        <v>0</v>
      </c>
      <c r="P38" s="15"/>
    </row>
    <row r="39" spans="1:16" ht="12" customHeight="1">
      <c r="A39" s="25" t="s">
        <v>32</v>
      </c>
      <c r="B39" s="24"/>
      <c r="C39" s="24"/>
      <c r="D39" s="24"/>
      <c r="E39" s="24"/>
      <c r="F39" s="24"/>
      <c r="G39" s="24"/>
      <c r="H39" s="24"/>
      <c r="I39" s="24"/>
      <c r="J39" s="20"/>
      <c r="K39" s="20"/>
      <c r="L39" s="21"/>
      <c r="M39" s="22">
        <f>'Table 3a'!AX23</f>
        <v>0</v>
      </c>
      <c r="N39" s="22">
        <f>'Table 4'!K258</f>
        <v>0</v>
      </c>
      <c r="O39" s="23">
        <f t="shared" si="0"/>
        <v>0</v>
      </c>
      <c r="P39" s="15"/>
    </row>
    <row r="40" spans="1:16" ht="12.75">
      <c r="A40" s="25" t="s">
        <v>33</v>
      </c>
      <c r="B40" s="24"/>
      <c r="C40" s="24"/>
      <c r="D40" s="24"/>
      <c r="E40" s="24"/>
      <c r="F40" s="24"/>
      <c r="G40" s="24"/>
      <c r="H40" s="24"/>
      <c r="I40" s="24"/>
      <c r="J40" s="20"/>
      <c r="K40" s="20"/>
      <c r="L40" s="21"/>
      <c r="M40" s="22">
        <f>'Table 3a'!AX101</f>
        <v>475811.8333333333</v>
      </c>
      <c r="N40" s="22">
        <f>'Table 4'!K262</f>
        <v>475811.8333333334</v>
      </c>
      <c r="O40" s="23">
        <f t="shared" si="0"/>
        <v>5.820766091346741E-11</v>
      </c>
      <c r="P40" s="15"/>
    </row>
    <row r="41" spans="1:16" ht="12.75">
      <c r="A41" s="25" t="s">
        <v>34</v>
      </c>
      <c r="B41" s="24"/>
      <c r="C41" s="24"/>
      <c r="D41" s="24"/>
      <c r="E41" s="24"/>
      <c r="F41" s="24"/>
      <c r="G41" s="24"/>
      <c r="H41" s="24"/>
      <c r="I41" s="24"/>
      <c r="J41" s="20"/>
      <c r="K41" s="20"/>
      <c r="L41" s="21"/>
      <c r="M41" s="22">
        <f>'Table 3a'!AX126</f>
        <v>165468</v>
      </c>
      <c r="N41" s="22">
        <f>'Table 4'!K267</f>
        <v>165468</v>
      </c>
      <c r="O41" s="23">
        <f t="shared" si="0"/>
        <v>0</v>
      </c>
      <c r="P41" s="15"/>
    </row>
    <row r="42" spans="1:16" ht="12.75">
      <c r="A42" s="25" t="s">
        <v>35</v>
      </c>
      <c r="B42" s="24"/>
      <c r="C42" s="24"/>
      <c r="D42" s="24"/>
      <c r="E42" s="24"/>
      <c r="F42" s="24"/>
      <c r="G42" s="24"/>
      <c r="H42" s="24"/>
      <c r="I42" s="24"/>
      <c r="J42" s="20"/>
      <c r="K42" s="20"/>
      <c r="L42" s="21"/>
      <c r="M42" s="22">
        <f>'Table 3a'!BC23</f>
        <v>0</v>
      </c>
      <c r="N42" s="22">
        <f>'Table 4'!K280</f>
        <v>0</v>
      </c>
      <c r="O42" s="23">
        <f t="shared" si="0"/>
        <v>0</v>
      </c>
      <c r="P42" s="15"/>
    </row>
    <row r="43" spans="1:16" ht="12.75">
      <c r="A43" s="25" t="s">
        <v>36</v>
      </c>
      <c r="B43" s="24"/>
      <c r="C43" s="24"/>
      <c r="D43" s="24"/>
      <c r="E43" s="24"/>
      <c r="F43" s="24"/>
      <c r="G43" s="24"/>
      <c r="H43" s="24"/>
      <c r="I43" s="24"/>
      <c r="J43" s="20"/>
      <c r="K43" s="20"/>
      <c r="L43" s="21"/>
      <c r="M43" s="22">
        <f>'Table 3a'!BC101</f>
        <v>1125054</v>
      </c>
      <c r="N43" s="22">
        <f>'Table 4'!K288</f>
        <v>1125054</v>
      </c>
      <c r="O43" s="23">
        <f t="shared" si="0"/>
        <v>0</v>
      </c>
      <c r="P43" s="15"/>
    </row>
    <row r="44" spans="1:16" ht="12.75">
      <c r="A44" s="25" t="s">
        <v>37</v>
      </c>
      <c r="B44" s="24"/>
      <c r="C44" s="24"/>
      <c r="D44" s="24"/>
      <c r="E44" s="24"/>
      <c r="F44" s="24"/>
      <c r="G44" s="24"/>
      <c r="H44" s="24"/>
      <c r="I44" s="24"/>
      <c r="J44" s="20"/>
      <c r="K44" s="20"/>
      <c r="L44" s="21"/>
      <c r="M44" s="22">
        <f>'Table 3a'!BC126</f>
        <v>1597511</v>
      </c>
      <c r="N44" s="22">
        <f>'Table 4'!K295</f>
        <v>1597511</v>
      </c>
      <c r="O44" s="23">
        <f t="shared" si="0"/>
        <v>0</v>
      </c>
      <c r="P44" s="15"/>
    </row>
    <row r="45" spans="1:16" ht="12.75">
      <c r="A45" s="25" t="s">
        <v>38</v>
      </c>
      <c r="B45" s="24"/>
      <c r="C45" s="24"/>
      <c r="D45" s="24"/>
      <c r="E45" s="24"/>
      <c r="F45" s="24"/>
      <c r="G45" s="24"/>
      <c r="H45" s="24"/>
      <c r="I45" s="24"/>
      <c r="J45" s="20"/>
      <c r="K45" s="20"/>
      <c r="L45" s="21"/>
      <c r="M45" s="22">
        <f>'Table 3a'!BI23</f>
        <v>0</v>
      </c>
      <c r="N45" s="22">
        <f>'Table 4'!K309</f>
        <v>0</v>
      </c>
      <c r="O45" s="23">
        <f t="shared" si="0"/>
        <v>0</v>
      </c>
      <c r="P45" s="15"/>
    </row>
    <row r="46" spans="1:16" ht="12.75">
      <c r="A46" s="25" t="s">
        <v>39</v>
      </c>
      <c r="B46" s="24"/>
      <c r="C46" s="24"/>
      <c r="D46" s="24"/>
      <c r="E46" s="24"/>
      <c r="F46" s="24"/>
      <c r="G46" s="24"/>
      <c r="H46" s="24"/>
      <c r="I46" s="24"/>
      <c r="J46" s="20"/>
      <c r="K46" s="20"/>
      <c r="L46" s="21"/>
      <c r="M46" s="22">
        <f>'Table 3a'!BI101</f>
        <v>1000489.9999999999</v>
      </c>
      <c r="N46" s="22">
        <f>'Table 4'!K317</f>
        <v>1000490</v>
      </c>
      <c r="O46" s="23">
        <f t="shared" si="0"/>
        <v>1.1641532182693481E-10</v>
      </c>
      <c r="P46" s="15"/>
    </row>
    <row r="47" spans="1:16" ht="12.75">
      <c r="A47" s="25" t="s">
        <v>40</v>
      </c>
      <c r="B47" s="24"/>
      <c r="C47" s="24"/>
      <c r="D47" s="24"/>
      <c r="E47" s="24"/>
      <c r="F47" s="24"/>
      <c r="G47" s="24"/>
      <c r="H47" s="24"/>
      <c r="I47" s="24"/>
      <c r="J47" s="20"/>
      <c r="K47" s="20"/>
      <c r="L47" s="21"/>
      <c r="M47" s="22">
        <f>'Table 3a'!BI126</f>
        <v>1037264</v>
      </c>
      <c r="N47" s="22">
        <f>'Table 4'!K324</f>
        <v>1037264</v>
      </c>
      <c r="O47" s="23">
        <f t="shared" si="0"/>
        <v>0</v>
      </c>
      <c r="P47" s="15"/>
    </row>
    <row r="48" spans="1:16" ht="12.75">
      <c r="A48" s="1405" t="s">
        <v>41</v>
      </c>
      <c r="B48" s="1406"/>
      <c r="C48" s="1406"/>
      <c r="D48" s="1406"/>
      <c r="E48" s="1406"/>
      <c r="F48" s="1406"/>
      <c r="G48" s="1406"/>
      <c r="H48" s="1406"/>
      <c r="I48" s="1406"/>
      <c r="J48" s="1406"/>
      <c r="K48" s="1406"/>
      <c r="L48" s="1407"/>
      <c r="M48" s="22">
        <f>'Table 3a'!BN23</f>
        <v>0</v>
      </c>
      <c r="N48" s="22">
        <f>'Table 4'!K343</f>
        <v>0</v>
      </c>
      <c r="O48" s="23">
        <f t="shared" si="0"/>
        <v>0</v>
      </c>
      <c r="P48" s="15"/>
    </row>
    <row r="49" spans="1:16" ht="12.75">
      <c r="A49" s="1405" t="s">
        <v>42</v>
      </c>
      <c r="B49" s="1406"/>
      <c r="C49" s="1406"/>
      <c r="D49" s="1406"/>
      <c r="E49" s="1406"/>
      <c r="F49" s="1406"/>
      <c r="G49" s="1406"/>
      <c r="H49" s="1406"/>
      <c r="I49" s="1406"/>
      <c r="J49" s="1406"/>
      <c r="K49" s="1406"/>
      <c r="L49" s="1407"/>
      <c r="M49" s="22">
        <f>'Table 3a'!BN101</f>
        <v>3627177</v>
      </c>
      <c r="N49" s="22">
        <f>'Table 4'!K348</f>
        <v>3627177</v>
      </c>
      <c r="O49" s="23">
        <f t="shared" si="0"/>
        <v>0</v>
      </c>
      <c r="P49" s="15"/>
    </row>
    <row r="50" spans="1:16" ht="12.75">
      <c r="A50" s="1405" t="s">
        <v>43</v>
      </c>
      <c r="B50" s="1406"/>
      <c r="C50" s="1406"/>
      <c r="D50" s="1406"/>
      <c r="E50" s="1406"/>
      <c r="F50" s="1406"/>
      <c r="G50" s="1406"/>
      <c r="H50" s="1406"/>
      <c r="I50" s="1406"/>
      <c r="J50" s="1406"/>
      <c r="K50" s="1406"/>
      <c r="L50" s="1407"/>
      <c r="M50" s="22">
        <f>'Table 3a'!BN126</f>
        <v>3764949</v>
      </c>
      <c r="N50" s="22">
        <f>'Table 4'!K353</f>
        <v>3764949</v>
      </c>
      <c r="O50" s="23">
        <f t="shared" si="0"/>
        <v>0</v>
      </c>
      <c r="P50" s="15"/>
    </row>
    <row r="51" spans="1:16" ht="12.75">
      <c r="A51" s="1405" t="s">
        <v>44</v>
      </c>
      <c r="B51" s="1406"/>
      <c r="C51" s="1406"/>
      <c r="D51" s="1406"/>
      <c r="E51" s="1406"/>
      <c r="F51" s="1406"/>
      <c r="G51" s="1406"/>
      <c r="H51" s="1406"/>
      <c r="I51" s="1406"/>
      <c r="J51" s="1406"/>
      <c r="K51" s="1406"/>
      <c r="L51" s="1407"/>
      <c r="M51" s="22">
        <f>'Table 3a'!BT23</f>
        <v>0</v>
      </c>
      <c r="N51" s="22">
        <f>'Table 4'!K371</f>
        <v>0</v>
      </c>
      <c r="O51" s="23">
        <f t="shared" si="0"/>
        <v>0</v>
      </c>
      <c r="P51" s="15"/>
    </row>
    <row r="52" spans="1:16" ht="12.75">
      <c r="A52" s="1405" t="s">
        <v>45</v>
      </c>
      <c r="B52" s="1406"/>
      <c r="C52" s="1406"/>
      <c r="D52" s="1406"/>
      <c r="E52" s="1406"/>
      <c r="F52" s="1406"/>
      <c r="G52" s="1406"/>
      <c r="H52" s="1406"/>
      <c r="I52" s="1406"/>
      <c r="J52" s="1406"/>
      <c r="K52" s="1406"/>
      <c r="L52" s="1407"/>
      <c r="M52" s="22">
        <f>'Table 3a'!BT101</f>
        <v>6066955.166666667</v>
      </c>
      <c r="N52" s="22">
        <f>'Table 4'!K377</f>
        <v>6066955.166666667</v>
      </c>
      <c r="O52" s="23">
        <f t="shared" si="0"/>
        <v>0</v>
      </c>
      <c r="P52" s="15"/>
    </row>
    <row r="53" spans="1:16" ht="12.75">
      <c r="A53" s="1405" t="s">
        <v>46</v>
      </c>
      <c r="B53" s="1406"/>
      <c r="C53" s="1406"/>
      <c r="D53" s="1406"/>
      <c r="E53" s="1406"/>
      <c r="F53" s="1406"/>
      <c r="G53" s="1406"/>
      <c r="H53" s="1406"/>
      <c r="I53" s="1406"/>
      <c r="J53" s="1406"/>
      <c r="K53" s="1406"/>
      <c r="L53" s="1407"/>
      <c r="M53" s="22">
        <f>'Table 3a'!BT126</f>
        <v>3160417</v>
      </c>
      <c r="N53" s="22">
        <f>'Table 4'!K382</f>
        <v>3160417</v>
      </c>
      <c r="O53" s="23">
        <f t="shared" si="0"/>
        <v>0</v>
      </c>
      <c r="P53" s="15"/>
    </row>
    <row r="54" spans="1:16" ht="12.75">
      <c r="A54" s="24" t="s">
        <v>47</v>
      </c>
      <c r="B54" s="24"/>
      <c r="C54" s="24"/>
      <c r="D54" s="24"/>
      <c r="E54" s="24"/>
      <c r="F54" s="20"/>
      <c r="G54" s="20"/>
      <c r="H54" s="20"/>
      <c r="I54" s="20"/>
      <c r="J54" s="20"/>
      <c r="K54" s="20"/>
      <c r="L54" s="21"/>
      <c r="M54" s="22">
        <f>'Table 3a'!BU23</f>
        <v>0</v>
      </c>
      <c r="N54" s="22">
        <f>'Table 4'!K396</f>
        <v>0</v>
      </c>
      <c r="O54" s="23">
        <f t="shared" si="0"/>
        <v>0</v>
      </c>
      <c r="P54" s="15"/>
    </row>
    <row r="55" spans="1:16" ht="12.75">
      <c r="A55" s="24" t="s">
        <v>48</v>
      </c>
      <c r="B55" s="24"/>
      <c r="C55" s="24"/>
      <c r="D55" s="24"/>
      <c r="E55" s="24"/>
      <c r="F55" s="20"/>
      <c r="G55" s="20"/>
      <c r="H55" s="20"/>
      <c r="I55" s="20"/>
      <c r="J55" s="20"/>
      <c r="K55" s="20"/>
      <c r="L55" s="21"/>
      <c r="M55" s="22">
        <f>'Table 3a'!BU101</f>
        <v>0</v>
      </c>
      <c r="N55" s="22">
        <f>'Table 4'!K398</f>
        <v>0</v>
      </c>
      <c r="O55" s="23">
        <f t="shared" si="0"/>
        <v>0</v>
      </c>
      <c r="P55" s="15"/>
    </row>
    <row r="56" spans="1:16" ht="12.75">
      <c r="A56" s="24" t="s">
        <v>49</v>
      </c>
      <c r="B56" s="24"/>
      <c r="C56" s="24"/>
      <c r="D56" s="24"/>
      <c r="E56" s="24"/>
      <c r="F56" s="20"/>
      <c r="G56" s="20"/>
      <c r="H56" s="20"/>
      <c r="I56" s="20"/>
      <c r="J56" s="20"/>
      <c r="K56" s="20"/>
      <c r="L56" s="21"/>
      <c r="M56" s="22">
        <f>'Table 3a'!BU126</f>
        <v>0</v>
      </c>
      <c r="N56" s="22">
        <f>'Table 4'!K400</f>
        <v>0</v>
      </c>
      <c r="O56" s="23">
        <f t="shared" si="0"/>
        <v>0</v>
      </c>
      <c r="P56" s="15"/>
    </row>
    <row r="57" spans="1:16" ht="12.75">
      <c r="A57" s="24" t="s">
        <v>50</v>
      </c>
      <c r="B57" s="24"/>
      <c r="C57" s="24"/>
      <c r="D57" s="24"/>
      <c r="E57" s="24"/>
      <c r="F57" s="20"/>
      <c r="G57" s="20"/>
      <c r="H57" s="20"/>
      <c r="I57" s="20"/>
      <c r="J57" s="20"/>
      <c r="K57" s="20"/>
      <c r="L57" s="21"/>
      <c r="M57" s="22">
        <f>'Table 3a'!BV126</f>
        <v>-470366</v>
      </c>
      <c r="N57" s="22">
        <f>'Table 4'!K409</f>
        <v>-470366</v>
      </c>
      <c r="O57" s="23">
        <f t="shared" si="0"/>
        <v>0</v>
      </c>
      <c r="P57" s="15"/>
    </row>
    <row r="58" spans="1:16" ht="12.75">
      <c r="A58" s="24" t="s">
        <v>51</v>
      </c>
      <c r="B58" s="24"/>
      <c r="C58" s="24"/>
      <c r="D58" s="24"/>
      <c r="E58" s="24"/>
      <c r="F58" s="20"/>
      <c r="G58" s="20"/>
      <c r="H58" s="20"/>
      <c r="I58" s="20"/>
      <c r="J58" s="20"/>
      <c r="K58" s="20"/>
      <c r="L58" s="21"/>
      <c r="M58" s="22">
        <f>'Table 3a'!BX23</f>
        <v>0</v>
      </c>
      <c r="N58" s="22">
        <f>'Table 4'!K421</f>
        <v>0</v>
      </c>
      <c r="O58" s="23">
        <f t="shared" si="0"/>
        <v>0</v>
      </c>
      <c r="P58" s="15"/>
    </row>
    <row r="59" spans="1:16" ht="12.75">
      <c r="A59" s="24" t="s">
        <v>52</v>
      </c>
      <c r="B59" s="24"/>
      <c r="C59" s="24"/>
      <c r="D59" s="24"/>
      <c r="E59" s="24"/>
      <c r="F59" s="20"/>
      <c r="G59" s="20"/>
      <c r="H59" s="20"/>
      <c r="I59" s="20"/>
      <c r="J59" s="20"/>
      <c r="K59" s="20"/>
      <c r="L59" s="21"/>
      <c r="M59" s="22">
        <f>'Table 3a'!BX101</f>
        <v>59824</v>
      </c>
      <c r="N59" s="22">
        <f>'Table 4'!K423</f>
        <v>59824</v>
      </c>
      <c r="O59" s="23">
        <f t="shared" si="0"/>
        <v>0</v>
      </c>
      <c r="P59" s="15"/>
    </row>
    <row r="60" spans="1:16" ht="12.75">
      <c r="A60" s="24" t="s">
        <v>53</v>
      </c>
      <c r="B60" s="24"/>
      <c r="C60" s="24"/>
      <c r="D60" s="24"/>
      <c r="E60" s="24"/>
      <c r="F60" s="20"/>
      <c r="G60" s="20"/>
      <c r="H60" s="20"/>
      <c r="I60" s="20"/>
      <c r="J60" s="20"/>
      <c r="K60" s="20"/>
      <c r="L60" s="21"/>
      <c r="M60" s="22">
        <f>'Table 3a'!BX126</f>
        <v>0</v>
      </c>
      <c r="N60" s="22">
        <f>'Table 4'!K425</f>
        <v>0</v>
      </c>
      <c r="O60" s="23">
        <f t="shared" si="0"/>
        <v>0</v>
      </c>
      <c r="P60" s="15"/>
    </row>
    <row r="61" spans="1:16" ht="12.75">
      <c r="A61" s="1405" t="s">
        <v>54</v>
      </c>
      <c r="B61" s="1406"/>
      <c r="C61" s="1406"/>
      <c r="D61" s="1406"/>
      <c r="E61" s="1406"/>
      <c r="F61" s="1406"/>
      <c r="G61" s="1406"/>
      <c r="H61" s="1406"/>
      <c r="I61" s="1406"/>
      <c r="J61" s="1406"/>
      <c r="K61" s="1406"/>
      <c r="L61" s="1407"/>
      <c r="M61" s="22">
        <f>'Table 3b'!O24</f>
        <v>5621517.0768</v>
      </c>
      <c r="N61" s="22">
        <f>'Table 4'!K460</f>
        <v>5621517.0768</v>
      </c>
      <c r="O61" s="23">
        <f t="shared" si="0"/>
        <v>0</v>
      </c>
      <c r="P61" s="15"/>
    </row>
    <row r="62" spans="1:16" ht="12.75">
      <c r="A62" s="1405" t="s">
        <v>55</v>
      </c>
      <c r="B62" s="1406"/>
      <c r="C62" s="1406"/>
      <c r="D62" s="1406"/>
      <c r="E62" s="1406"/>
      <c r="F62" s="1406"/>
      <c r="G62" s="1406"/>
      <c r="H62" s="1406"/>
      <c r="I62" s="1406"/>
      <c r="J62" s="1406"/>
      <c r="K62" s="1406"/>
      <c r="L62" s="1407"/>
      <c r="M62" s="22">
        <f>'Table 3b'!Q24</f>
        <v>0</v>
      </c>
      <c r="N62" s="22">
        <f>'Table 4'!K470</f>
        <v>0</v>
      </c>
      <c r="O62" s="23">
        <f t="shared" si="0"/>
        <v>0</v>
      </c>
      <c r="P62" s="15"/>
    </row>
    <row r="63" spans="1:15" s="27" customFormat="1" ht="12" customHeight="1">
      <c r="A63" s="24" t="s">
        <v>56</v>
      </c>
      <c r="B63" s="24"/>
      <c r="C63" s="24"/>
      <c r="D63" s="24"/>
      <c r="E63" s="24"/>
      <c r="F63" s="24"/>
      <c r="G63" s="24"/>
      <c r="H63" s="24"/>
      <c r="I63" s="24"/>
      <c r="J63" s="24"/>
      <c r="K63" s="24"/>
      <c r="L63" s="26"/>
      <c r="M63" s="22">
        <f>'Table 3b'!S24</f>
        <v>0</v>
      </c>
      <c r="N63" s="22">
        <f>'Table 4'!K483</f>
        <v>0</v>
      </c>
      <c r="O63" s="23">
        <f t="shared" si="0"/>
        <v>0</v>
      </c>
    </row>
    <row r="64" spans="1:15" s="27" customFormat="1" ht="15" customHeight="1">
      <c r="A64" s="24" t="s">
        <v>57</v>
      </c>
      <c r="B64" s="24"/>
      <c r="C64" s="24"/>
      <c r="D64" s="24"/>
      <c r="E64" s="24"/>
      <c r="F64" s="24"/>
      <c r="G64" s="24"/>
      <c r="H64" s="24"/>
      <c r="I64" s="24"/>
      <c r="J64" s="24"/>
      <c r="K64" s="24"/>
      <c r="L64" s="26"/>
      <c r="M64" s="22">
        <f>'Table 3b'!W24</f>
        <v>52228</v>
      </c>
      <c r="N64" s="22">
        <f>'Table 4'!K496</f>
        <v>52228</v>
      </c>
      <c r="O64" s="23">
        <f t="shared" si="0"/>
        <v>0</v>
      </c>
    </row>
    <row r="65" spans="1:15" s="27" customFormat="1" ht="12" customHeight="1">
      <c r="A65" s="24" t="s">
        <v>58</v>
      </c>
      <c r="B65" s="24"/>
      <c r="C65" s="24"/>
      <c r="D65" s="24"/>
      <c r="E65" s="24"/>
      <c r="F65" s="24"/>
      <c r="G65" s="24"/>
      <c r="H65" s="24"/>
      <c r="I65" s="24"/>
      <c r="J65" s="24"/>
      <c r="K65" s="24"/>
      <c r="L65" s="28"/>
      <c r="M65" s="22">
        <f>'Table 3b'!AA24</f>
        <v>264170</v>
      </c>
      <c r="N65" s="22">
        <f>'Table 4'!K510</f>
        <v>264170</v>
      </c>
      <c r="O65" s="23">
        <f t="shared" si="0"/>
        <v>0</v>
      </c>
    </row>
    <row r="66" spans="1:16" ht="12.75">
      <c r="A66" s="24" t="s">
        <v>59</v>
      </c>
      <c r="B66" s="24"/>
      <c r="C66" s="24"/>
      <c r="D66" s="24"/>
      <c r="E66" s="24"/>
      <c r="F66" s="24"/>
      <c r="G66" s="24"/>
      <c r="H66" s="20"/>
      <c r="I66" s="20"/>
      <c r="J66" s="20"/>
      <c r="K66" s="20"/>
      <c r="L66" s="21"/>
      <c r="M66" s="22">
        <f>'Table 3b'!AE24</f>
        <v>932571</v>
      </c>
      <c r="N66" s="22">
        <f>'Table 4'!K523</f>
        <v>932571</v>
      </c>
      <c r="O66" s="23">
        <f t="shared" si="0"/>
        <v>0</v>
      </c>
      <c r="P66" s="15"/>
    </row>
    <row r="67" spans="1:16" ht="12.75">
      <c r="A67" s="24" t="s">
        <v>60</v>
      </c>
      <c r="B67" s="24"/>
      <c r="C67" s="24"/>
      <c r="D67" s="24"/>
      <c r="E67" s="24"/>
      <c r="F67" s="24"/>
      <c r="G67" s="24"/>
      <c r="H67" s="20"/>
      <c r="I67" s="20"/>
      <c r="J67" s="20"/>
      <c r="K67" s="20"/>
      <c r="L67" s="21"/>
      <c r="M67" s="22">
        <f>'Table 3b'!AG24</f>
        <v>0</v>
      </c>
      <c r="N67" s="22">
        <f>'Table 4'!K534</f>
        <v>0</v>
      </c>
      <c r="O67" s="23">
        <f t="shared" si="0"/>
        <v>0</v>
      </c>
      <c r="P67" s="15"/>
    </row>
    <row r="68" spans="1:15" ht="13.5" thickBot="1">
      <c r="A68" s="29" t="s">
        <v>61</v>
      </c>
      <c r="B68" s="29"/>
      <c r="C68" s="29"/>
      <c r="D68" s="29"/>
      <c r="E68" s="29"/>
      <c r="F68" s="29"/>
      <c r="G68" s="29"/>
      <c r="H68" s="30"/>
      <c r="I68" s="30"/>
      <c r="J68" s="30"/>
      <c r="K68" s="30"/>
      <c r="L68" s="30"/>
      <c r="M68" s="22">
        <f>'Table 3b'!AH24</f>
        <v>0</v>
      </c>
      <c r="N68" s="22">
        <f>'Table 4'!K542</f>
        <v>0</v>
      </c>
      <c r="O68" s="23">
        <f t="shared" si="0"/>
        <v>0</v>
      </c>
    </row>
    <row r="69" spans="1:15" ht="13.5" thickBot="1">
      <c r="A69" s="1420" t="s">
        <v>62</v>
      </c>
      <c r="B69" s="1421"/>
      <c r="C69" s="1421"/>
      <c r="D69" s="1421"/>
      <c r="E69" s="1421"/>
      <c r="F69" s="1421"/>
      <c r="G69" s="1421"/>
      <c r="H69" s="1421"/>
      <c r="I69" s="1421"/>
      <c r="J69" s="1421"/>
      <c r="K69" s="1421"/>
      <c r="L69" s="1421"/>
      <c r="M69" s="1422"/>
      <c r="N69" s="1422"/>
      <c r="O69" s="1423"/>
    </row>
    <row r="70" spans="1:15" ht="12.75">
      <c r="A70" s="1408"/>
      <c r="B70" s="1409"/>
      <c r="C70" s="1409"/>
      <c r="D70" s="1409"/>
      <c r="E70" s="1409"/>
      <c r="F70" s="1409"/>
      <c r="G70" s="1409"/>
      <c r="H70" s="1409"/>
      <c r="I70" s="1409"/>
      <c r="J70" s="1409"/>
      <c r="K70" s="1409"/>
      <c r="L70" s="1409"/>
      <c r="M70" s="1410"/>
      <c r="N70" s="1410"/>
      <c r="O70" s="1411"/>
    </row>
    <row r="71" spans="1:15" ht="12.75">
      <c r="A71" s="1412"/>
      <c r="B71" s="1413"/>
      <c r="C71" s="1413"/>
      <c r="D71" s="1413"/>
      <c r="E71" s="1413"/>
      <c r="F71" s="1413"/>
      <c r="G71" s="1413"/>
      <c r="H71" s="1413"/>
      <c r="I71" s="1413"/>
      <c r="J71" s="1413"/>
      <c r="K71" s="1413"/>
      <c r="L71" s="1413"/>
      <c r="M71" s="1414"/>
      <c r="N71" s="1414"/>
      <c r="O71" s="1415"/>
    </row>
    <row r="72" spans="1:15" ht="12.75">
      <c r="A72" s="1412"/>
      <c r="B72" s="1413"/>
      <c r="C72" s="1413"/>
      <c r="D72" s="1413"/>
      <c r="E72" s="1413"/>
      <c r="F72" s="1413"/>
      <c r="G72" s="1413"/>
      <c r="H72" s="1413"/>
      <c r="I72" s="1413"/>
      <c r="J72" s="1413"/>
      <c r="K72" s="1413"/>
      <c r="L72" s="1413"/>
      <c r="M72" s="1414"/>
      <c r="N72" s="1414"/>
      <c r="O72" s="1415"/>
    </row>
    <row r="73" spans="1:15" ht="12.75">
      <c r="A73" s="1412"/>
      <c r="B73" s="1413"/>
      <c r="C73" s="1413"/>
      <c r="D73" s="1413"/>
      <c r="E73" s="1413"/>
      <c r="F73" s="1413"/>
      <c r="G73" s="1413"/>
      <c r="H73" s="1413"/>
      <c r="I73" s="1413"/>
      <c r="J73" s="1413"/>
      <c r="K73" s="1413"/>
      <c r="L73" s="1413"/>
      <c r="M73" s="1414"/>
      <c r="N73" s="1414"/>
      <c r="O73" s="1415"/>
    </row>
    <row r="74" spans="1:15" ht="13.5" thickBot="1">
      <c r="A74" s="1416"/>
      <c r="B74" s="1417"/>
      <c r="C74" s="1417"/>
      <c r="D74" s="1417"/>
      <c r="E74" s="1417"/>
      <c r="F74" s="1417"/>
      <c r="G74" s="1417"/>
      <c r="H74" s="1417"/>
      <c r="I74" s="1417"/>
      <c r="J74" s="1417"/>
      <c r="K74" s="1417"/>
      <c r="L74" s="1417"/>
      <c r="M74" s="1418"/>
      <c r="N74" s="1418"/>
      <c r="O74" s="1419"/>
    </row>
    <row r="75" spans="1:15" ht="12.75">
      <c r="A75" s="15"/>
      <c r="B75" s="15"/>
      <c r="C75" s="15"/>
      <c r="D75" s="15"/>
      <c r="E75" s="15"/>
      <c r="F75" s="15"/>
      <c r="G75" s="15"/>
      <c r="H75" s="15"/>
      <c r="I75" s="15"/>
      <c r="J75" s="15"/>
      <c r="K75" s="15"/>
      <c r="L75" s="15"/>
      <c r="M75" s="15"/>
      <c r="N75" s="15"/>
      <c r="O75" s="15"/>
    </row>
    <row r="76" spans="1:15" ht="12.75">
      <c r="A76" s="15"/>
      <c r="B76" s="15"/>
      <c r="C76" s="15"/>
      <c r="D76" s="15"/>
      <c r="E76" s="15"/>
      <c r="F76" s="15"/>
      <c r="G76" s="15"/>
      <c r="H76" s="15"/>
      <c r="I76" s="15"/>
      <c r="J76" s="15"/>
      <c r="K76" s="15"/>
      <c r="L76" s="15"/>
      <c r="M76" s="15"/>
      <c r="N76" s="15"/>
      <c r="O76" s="15"/>
    </row>
    <row r="77" spans="1:15" ht="12.75">
      <c r="A77" s="15"/>
      <c r="B77" s="15"/>
      <c r="C77" s="15"/>
      <c r="D77" s="15"/>
      <c r="E77" s="15"/>
      <c r="F77" s="15"/>
      <c r="G77" s="15"/>
      <c r="H77" s="15"/>
      <c r="I77" s="15"/>
      <c r="J77" s="15"/>
      <c r="K77" s="15"/>
      <c r="L77" s="15"/>
      <c r="M77" s="15"/>
      <c r="N77" s="15"/>
      <c r="O77" s="15"/>
    </row>
    <row r="78" spans="1:15" ht="12.75">
      <c r="A78" s="15"/>
      <c r="B78" s="15"/>
      <c r="C78" s="15"/>
      <c r="D78" s="15"/>
      <c r="E78" s="15"/>
      <c r="F78" s="15"/>
      <c r="G78" s="15"/>
      <c r="H78" s="15"/>
      <c r="I78" s="15"/>
      <c r="J78" s="15"/>
      <c r="K78" s="15"/>
      <c r="L78" s="15"/>
      <c r="M78" s="15"/>
      <c r="N78" s="15"/>
      <c r="O78" s="15"/>
    </row>
    <row r="79" spans="1:15" ht="12.75">
      <c r="A79" s="15"/>
      <c r="B79" s="15"/>
      <c r="C79" s="15"/>
      <c r="D79" s="15"/>
      <c r="E79" s="15"/>
      <c r="F79" s="15"/>
      <c r="G79" s="15"/>
      <c r="H79" s="15"/>
      <c r="I79" s="15"/>
      <c r="J79" s="15"/>
      <c r="K79" s="15"/>
      <c r="L79" s="15"/>
      <c r="M79" s="15"/>
      <c r="N79" s="15"/>
      <c r="O79" s="15"/>
    </row>
    <row r="80" spans="1:15" ht="12.75">
      <c r="A80" s="15"/>
      <c r="B80" s="15"/>
      <c r="C80" s="15"/>
      <c r="D80" s="15"/>
      <c r="E80" s="15"/>
      <c r="F80" s="15"/>
      <c r="G80" s="15"/>
      <c r="H80" s="15"/>
      <c r="I80" s="15"/>
      <c r="J80" s="15"/>
      <c r="K80" s="15"/>
      <c r="L80" s="15"/>
      <c r="M80" s="15"/>
      <c r="N80" s="15"/>
      <c r="O80" s="15"/>
    </row>
    <row r="81" spans="1:15" ht="12.75">
      <c r="A81" s="15"/>
      <c r="B81" s="15"/>
      <c r="C81" s="15"/>
      <c r="D81" s="15"/>
      <c r="E81" s="15"/>
      <c r="F81" s="15"/>
      <c r="G81" s="15"/>
      <c r="H81" s="15"/>
      <c r="I81" s="15"/>
      <c r="J81" s="15"/>
      <c r="K81" s="15"/>
      <c r="L81" s="15"/>
      <c r="M81" s="15"/>
      <c r="N81" s="15"/>
      <c r="O81" s="15"/>
    </row>
    <row r="82" spans="1:15" ht="12.75">
      <c r="A82" s="15"/>
      <c r="B82" s="15"/>
      <c r="C82" s="15"/>
      <c r="D82" s="15"/>
      <c r="E82" s="15"/>
      <c r="F82" s="15"/>
      <c r="G82" s="15"/>
      <c r="H82" s="15"/>
      <c r="I82" s="15"/>
      <c r="J82" s="15"/>
      <c r="K82" s="15"/>
      <c r="L82" s="15"/>
      <c r="M82" s="15"/>
      <c r="N82" s="15"/>
      <c r="O82" s="15"/>
    </row>
    <row r="83" spans="1:15" ht="12.75">
      <c r="A83" s="15"/>
      <c r="B83" s="15"/>
      <c r="C83" s="15"/>
      <c r="D83" s="15"/>
      <c r="E83" s="15"/>
      <c r="F83" s="15"/>
      <c r="G83" s="15"/>
      <c r="H83" s="15"/>
      <c r="I83" s="15"/>
      <c r="J83" s="15"/>
      <c r="K83" s="15"/>
      <c r="L83" s="15"/>
      <c r="M83" s="15"/>
      <c r="N83" s="15"/>
      <c r="O83" s="15"/>
    </row>
    <row r="84" spans="1:15" ht="12.75">
      <c r="A84" s="15"/>
      <c r="B84" s="15"/>
      <c r="C84" s="15"/>
      <c r="D84" s="15"/>
      <c r="E84" s="15"/>
      <c r="F84" s="15"/>
      <c r="G84" s="15"/>
      <c r="H84" s="15"/>
      <c r="I84" s="15"/>
      <c r="J84" s="15"/>
      <c r="K84" s="15"/>
      <c r="L84" s="15"/>
      <c r="M84" s="15"/>
      <c r="N84" s="15"/>
      <c r="O84" s="15"/>
    </row>
    <row r="85" spans="1:15" ht="12.75">
      <c r="A85" s="15"/>
      <c r="B85" s="15"/>
      <c r="C85" s="15"/>
      <c r="D85" s="15"/>
      <c r="E85" s="15"/>
      <c r="F85" s="15"/>
      <c r="G85" s="15"/>
      <c r="H85" s="15"/>
      <c r="I85" s="15"/>
      <c r="J85" s="15"/>
      <c r="K85" s="15"/>
      <c r="L85" s="15"/>
      <c r="M85" s="15"/>
      <c r="N85" s="15"/>
      <c r="O85" s="15"/>
    </row>
    <row r="86" spans="1:15" ht="12.75">
      <c r="A86" s="15"/>
      <c r="B86" s="15"/>
      <c r="C86" s="15"/>
      <c r="D86" s="15"/>
      <c r="E86" s="15"/>
      <c r="F86" s="15"/>
      <c r="G86" s="15"/>
      <c r="H86" s="15"/>
      <c r="I86" s="15"/>
      <c r="J86" s="15"/>
      <c r="K86" s="15"/>
      <c r="L86" s="15"/>
      <c r="M86" s="15"/>
      <c r="N86" s="15"/>
      <c r="O86" s="15"/>
    </row>
    <row r="87" spans="1:15" ht="12.75">
      <c r="A87" s="15"/>
      <c r="B87" s="15"/>
      <c r="C87" s="15"/>
      <c r="D87" s="15"/>
      <c r="E87" s="15"/>
      <c r="F87" s="15"/>
      <c r="G87" s="15"/>
      <c r="H87" s="15"/>
      <c r="I87" s="15"/>
      <c r="J87" s="15"/>
      <c r="K87" s="15"/>
      <c r="L87" s="15"/>
      <c r="M87" s="15"/>
      <c r="N87" s="15"/>
      <c r="O87" s="15"/>
    </row>
    <row r="88" spans="1:15" ht="12.75">
      <c r="A88" s="15"/>
      <c r="B88" s="15"/>
      <c r="C88" s="15"/>
      <c r="D88" s="15"/>
      <c r="E88" s="15"/>
      <c r="F88" s="15"/>
      <c r="G88" s="15"/>
      <c r="H88" s="15"/>
      <c r="I88" s="15"/>
      <c r="J88" s="15"/>
      <c r="K88" s="15"/>
      <c r="L88" s="15"/>
      <c r="M88" s="15"/>
      <c r="N88" s="15"/>
      <c r="O88" s="15"/>
    </row>
    <row r="89" spans="1:15" ht="12.75">
      <c r="A89" s="15"/>
      <c r="B89" s="15"/>
      <c r="C89" s="15"/>
      <c r="D89" s="15"/>
      <c r="E89" s="15"/>
      <c r="F89" s="15"/>
      <c r="G89" s="15"/>
      <c r="H89" s="15"/>
      <c r="I89" s="15"/>
      <c r="J89" s="15"/>
      <c r="K89" s="15"/>
      <c r="L89" s="15"/>
      <c r="M89" s="15"/>
      <c r="N89" s="15"/>
      <c r="O89" s="15"/>
    </row>
    <row r="90" spans="1:15" ht="12.75">
      <c r="A90" s="15"/>
      <c r="B90" s="15"/>
      <c r="C90" s="15"/>
      <c r="D90" s="15"/>
      <c r="E90" s="15"/>
      <c r="F90" s="15"/>
      <c r="G90" s="15"/>
      <c r="H90" s="15"/>
      <c r="I90" s="15"/>
      <c r="J90" s="15"/>
      <c r="K90" s="15"/>
      <c r="L90" s="15"/>
      <c r="M90" s="15"/>
      <c r="N90" s="15"/>
      <c r="O90" s="15"/>
    </row>
    <row r="91" spans="1:15" ht="12.75">
      <c r="A91" s="15"/>
      <c r="B91" s="15"/>
      <c r="C91" s="15"/>
      <c r="D91" s="15"/>
      <c r="E91" s="15"/>
      <c r="F91" s="15"/>
      <c r="G91" s="15"/>
      <c r="H91" s="15"/>
      <c r="I91" s="15"/>
      <c r="J91" s="15"/>
      <c r="K91" s="15"/>
      <c r="L91" s="15"/>
      <c r="M91" s="15"/>
      <c r="N91" s="15"/>
      <c r="O91" s="15"/>
    </row>
    <row r="92" spans="1:15" ht="12.75">
      <c r="A92" s="15"/>
      <c r="B92" s="15"/>
      <c r="C92" s="15"/>
      <c r="D92" s="15"/>
      <c r="E92" s="15"/>
      <c r="F92" s="15"/>
      <c r="G92" s="15"/>
      <c r="H92" s="15"/>
      <c r="I92" s="15"/>
      <c r="J92" s="15"/>
      <c r="K92" s="15"/>
      <c r="L92" s="15"/>
      <c r="M92" s="15"/>
      <c r="N92" s="15"/>
      <c r="O92" s="15"/>
    </row>
    <row r="93" spans="1:15" ht="12.75">
      <c r="A93" s="15"/>
      <c r="B93" s="15"/>
      <c r="C93" s="15"/>
      <c r="D93" s="15"/>
      <c r="E93" s="15"/>
      <c r="F93" s="15"/>
      <c r="G93" s="15"/>
      <c r="H93" s="15"/>
      <c r="I93" s="15"/>
      <c r="J93" s="15"/>
      <c r="K93" s="15"/>
      <c r="L93" s="15"/>
      <c r="M93" s="15"/>
      <c r="N93" s="15"/>
      <c r="O93" s="15"/>
    </row>
    <row r="94" spans="1:15" ht="12.75">
      <c r="A94" s="15"/>
      <c r="B94" s="15"/>
      <c r="C94" s="15"/>
      <c r="D94" s="15"/>
      <c r="E94" s="15"/>
      <c r="F94" s="15"/>
      <c r="G94" s="15"/>
      <c r="H94" s="15"/>
      <c r="I94" s="15"/>
      <c r="J94" s="15"/>
      <c r="K94" s="15"/>
      <c r="L94" s="15"/>
      <c r="M94" s="15"/>
      <c r="N94" s="15"/>
      <c r="O94" s="15"/>
    </row>
    <row r="95" spans="1:15" ht="12.75">
      <c r="A95" s="15"/>
      <c r="B95" s="15"/>
      <c r="C95" s="15"/>
      <c r="D95" s="15"/>
      <c r="E95" s="15"/>
      <c r="F95" s="15"/>
      <c r="G95" s="15"/>
      <c r="H95" s="15"/>
      <c r="I95" s="15"/>
      <c r="J95" s="15"/>
      <c r="K95" s="15"/>
      <c r="L95" s="15"/>
      <c r="M95" s="15"/>
      <c r="N95" s="15"/>
      <c r="O95" s="15"/>
    </row>
    <row r="96" spans="1:15" ht="12.75">
      <c r="A96" s="15"/>
      <c r="B96" s="15"/>
      <c r="C96" s="15"/>
      <c r="D96" s="15"/>
      <c r="E96" s="15"/>
      <c r="F96" s="15"/>
      <c r="G96" s="15"/>
      <c r="H96" s="15"/>
      <c r="I96" s="15"/>
      <c r="J96" s="15"/>
      <c r="K96" s="15"/>
      <c r="L96" s="15"/>
      <c r="M96" s="15"/>
      <c r="N96" s="15"/>
      <c r="O96" s="15"/>
    </row>
    <row r="97" spans="1:15" ht="12.75">
      <c r="A97" s="15"/>
      <c r="B97" s="15"/>
      <c r="C97" s="15"/>
      <c r="D97" s="15"/>
      <c r="E97" s="15"/>
      <c r="F97" s="15"/>
      <c r="G97" s="15"/>
      <c r="H97" s="15"/>
      <c r="I97" s="15"/>
      <c r="J97" s="15"/>
      <c r="K97" s="15"/>
      <c r="L97" s="15"/>
      <c r="M97" s="15"/>
      <c r="N97" s="15"/>
      <c r="O97" s="15"/>
    </row>
    <row r="98" spans="1:15" ht="12.75">
      <c r="A98" s="15"/>
      <c r="B98" s="15"/>
      <c r="C98" s="15"/>
      <c r="D98" s="15"/>
      <c r="E98" s="15"/>
      <c r="F98" s="15"/>
      <c r="G98" s="15"/>
      <c r="H98" s="15"/>
      <c r="I98" s="15"/>
      <c r="J98" s="15"/>
      <c r="K98" s="15"/>
      <c r="L98" s="15"/>
      <c r="M98" s="15"/>
      <c r="N98" s="15"/>
      <c r="O98" s="15"/>
    </row>
    <row r="99" spans="1:15" ht="12.75">
      <c r="A99" s="15"/>
      <c r="B99" s="15"/>
      <c r="C99" s="15"/>
      <c r="D99" s="15"/>
      <c r="E99" s="15"/>
      <c r="F99" s="15"/>
      <c r="G99" s="15"/>
      <c r="H99" s="15"/>
      <c r="I99" s="15"/>
      <c r="J99" s="15"/>
      <c r="K99" s="15"/>
      <c r="L99" s="15"/>
      <c r="M99" s="15"/>
      <c r="N99" s="15"/>
      <c r="O99" s="15"/>
    </row>
    <row r="100" spans="1:15" ht="12.75">
      <c r="A100" s="15"/>
      <c r="B100" s="15"/>
      <c r="C100" s="15"/>
      <c r="D100" s="15"/>
      <c r="E100" s="15"/>
      <c r="F100" s="15"/>
      <c r="G100" s="15"/>
      <c r="H100" s="15"/>
      <c r="I100" s="15"/>
      <c r="J100" s="15"/>
      <c r="K100" s="15"/>
      <c r="L100" s="15"/>
      <c r="M100" s="15"/>
      <c r="N100" s="15"/>
      <c r="O100" s="15"/>
    </row>
    <row r="101" spans="1:15" ht="12.75">
      <c r="A101" s="15"/>
      <c r="B101" s="15"/>
      <c r="C101" s="15"/>
      <c r="D101" s="15"/>
      <c r="E101" s="15"/>
      <c r="F101" s="15"/>
      <c r="G101" s="15"/>
      <c r="H101" s="15"/>
      <c r="I101" s="15"/>
      <c r="J101" s="15"/>
      <c r="K101" s="15"/>
      <c r="L101" s="15"/>
      <c r="M101" s="15"/>
      <c r="N101" s="15"/>
      <c r="O101" s="15"/>
    </row>
    <row r="102" spans="1:15" ht="12.75">
      <c r="A102" s="15"/>
      <c r="B102" s="15"/>
      <c r="C102" s="15"/>
      <c r="D102" s="15"/>
      <c r="E102" s="15"/>
      <c r="F102" s="15"/>
      <c r="G102" s="15"/>
      <c r="H102" s="15"/>
      <c r="I102" s="15"/>
      <c r="J102" s="15"/>
      <c r="K102" s="15"/>
      <c r="L102" s="15"/>
      <c r="M102" s="15"/>
      <c r="N102" s="15"/>
      <c r="O102" s="15"/>
    </row>
    <row r="103" spans="1:15" ht="12.75">
      <c r="A103" s="15"/>
      <c r="B103" s="15"/>
      <c r="C103" s="15"/>
      <c r="D103" s="15"/>
      <c r="E103" s="15"/>
      <c r="F103" s="15"/>
      <c r="G103" s="15"/>
      <c r="H103" s="15"/>
      <c r="I103" s="15"/>
      <c r="J103" s="15"/>
      <c r="K103" s="15"/>
      <c r="L103" s="15"/>
      <c r="M103" s="15"/>
      <c r="N103" s="15"/>
      <c r="O103" s="15"/>
    </row>
    <row r="104" spans="1:15" ht="12.75">
      <c r="A104" s="15"/>
      <c r="B104" s="15"/>
      <c r="C104" s="15"/>
      <c r="D104" s="15"/>
      <c r="E104" s="15"/>
      <c r="F104" s="15"/>
      <c r="G104" s="15"/>
      <c r="H104" s="15"/>
      <c r="I104" s="15"/>
      <c r="J104" s="15"/>
      <c r="K104" s="15"/>
      <c r="L104" s="15"/>
      <c r="M104" s="15"/>
      <c r="N104" s="15"/>
      <c r="O104" s="15"/>
    </row>
    <row r="105" spans="1:15" ht="12.75">
      <c r="A105" s="15"/>
      <c r="B105" s="15"/>
      <c r="C105" s="15"/>
      <c r="D105" s="15"/>
      <c r="E105" s="15"/>
      <c r="F105" s="15"/>
      <c r="G105" s="15"/>
      <c r="H105" s="15"/>
      <c r="I105" s="15"/>
      <c r="J105" s="15"/>
      <c r="K105" s="15"/>
      <c r="L105" s="15"/>
      <c r="M105" s="15"/>
      <c r="N105" s="15"/>
      <c r="O105" s="15"/>
    </row>
    <row r="106" spans="1:15" ht="12.75">
      <c r="A106" s="15"/>
      <c r="B106" s="15"/>
      <c r="C106" s="15"/>
      <c r="D106" s="15"/>
      <c r="E106" s="15"/>
      <c r="F106" s="15"/>
      <c r="G106" s="15"/>
      <c r="H106" s="15"/>
      <c r="I106" s="15"/>
      <c r="J106" s="15"/>
      <c r="K106" s="15"/>
      <c r="L106" s="15"/>
      <c r="M106" s="15"/>
      <c r="N106" s="15"/>
      <c r="O106" s="15"/>
    </row>
    <row r="107" spans="1:15" ht="12.75">
      <c r="A107" s="15"/>
      <c r="B107" s="15"/>
      <c r="C107" s="15"/>
      <c r="D107" s="15"/>
      <c r="E107" s="15"/>
      <c r="F107" s="15"/>
      <c r="G107" s="15"/>
      <c r="H107" s="15"/>
      <c r="I107" s="15"/>
      <c r="J107" s="15"/>
      <c r="K107" s="15"/>
      <c r="L107" s="15"/>
      <c r="M107" s="15"/>
      <c r="N107" s="15"/>
      <c r="O107" s="15"/>
    </row>
    <row r="108" spans="1:15" ht="12.75">
      <c r="A108" s="15"/>
      <c r="B108" s="15"/>
      <c r="C108" s="15"/>
      <c r="D108" s="15"/>
      <c r="E108" s="15"/>
      <c r="F108" s="15"/>
      <c r="G108" s="15"/>
      <c r="H108" s="15"/>
      <c r="I108" s="15"/>
      <c r="J108" s="15"/>
      <c r="K108" s="15"/>
      <c r="L108" s="15"/>
      <c r="M108" s="15"/>
      <c r="N108" s="15"/>
      <c r="O108" s="15"/>
    </row>
    <row r="109" spans="1:15" ht="12.75">
      <c r="A109" s="15"/>
      <c r="B109" s="15"/>
      <c r="C109" s="15"/>
      <c r="D109" s="15"/>
      <c r="E109" s="15"/>
      <c r="F109" s="15"/>
      <c r="G109" s="15"/>
      <c r="H109" s="15"/>
      <c r="I109" s="15"/>
      <c r="J109" s="15"/>
      <c r="K109" s="15"/>
      <c r="L109" s="15"/>
      <c r="M109" s="15"/>
      <c r="N109" s="15"/>
      <c r="O109" s="15"/>
    </row>
  </sheetData>
  <sheetProtection/>
  <mergeCells count="49">
    <mergeCell ref="A10:L10"/>
    <mergeCell ref="A9:L9"/>
    <mergeCell ref="N5:O5"/>
    <mergeCell ref="N6:O6"/>
    <mergeCell ref="L5:M5"/>
    <mergeCell ref="L6:M6"/>
    <mergeCell ref="C6:D6"/>
    <mergeCell ref="F6:H6"/>
    <mergeCell ref="I6:J6"/>
    <mergeCell ref="A52:L52"/>
    <mergeCell ref="A53:L53"/>
    <mergeCell ref="A11:L11"/>
    <mergeCell ref="A12:L12"/>
    <mergeCell ref="A15:L15"/>
    <mergeCell ref="A16:L16"/>
    <mergeCell ref="A23:L23"/>
    <mergeCell ref="A27:L27"/>
    <mergeCell ref="A36:L36"/>
    <mergeCell ref="A37:L37"/>
    <mergeCell ref="A62:L62"/>
    <mergeCell ref="A69:O69"/>
    <mergeCell ref="A17:L17"/>
    <mergeCell ref="A18:L18"/>
    <mergeCell ref="A19:L19"/>
    <mergeCell ref="A61:L61"/>
    <mergeCell ref="A48:L48"/>
    <mergeCell ref="A49:L49"/>
    <mergeCell ref="A50:L50"/>
    <mergeCell ref="A51:L51"/>
    <mergeCell ref="A70:O74"/>
    <mergeCell ref="A3:G3"/>
    <mergeCell ref="I3:O3"/>
    <mergeCell ref="A5:B5"/>
    <mergeCell ref="C5:D5"/>
    <mergeCell ref="F5:H5"/>
    <mergeCell ref="I5:J5"/>
    <mergeCell ref="A6:B6"/>
    <mergeCell ref="A38:L38"/>
    <mergeCell ref="A28:L28"/>
    <mergeCell ref="A20:L20"/>
    <mergeCell ref="A33:L33"/>
    <mergeCell ref="A34:L34"/>
    <mergeCell ref="A35:L35"/>
    <mergeCell ref="A32:L32"/>
    <mergeCell ref="A29:L29"/>
    <mergeCell ref="A30:L30"/>
    <mergeCell ref="A31:L31"/>
    <mergeCell ref="A21:L21"/>
    <mergeCell ref="A22:L22"/>
  </mergeCells>
  <conditionalFormatting sqref="O11:O68">
    <cfRule type="cellIs" priority="1" dxfId="1" operator="greaterThan" stopIfTrue="1">
      <formula>1000</formula>
    </cfRule>
  </conditionalFormatting>
  <printOptions/>
  <pageMargins left="0.19" right="0.17" top="0.33" bottom="0.31" header="0.17" footer="0.18"/>
  <pageSetup fitToHeight="1" fitToWidth="1" horizontalDpi="600" verticalDpi="600" orientation="portrait" paperSize="9"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Fenton x6692</dc:creator>
  <cp:keywords/>
  <dc:description/>
  <cp:lastModifiedBy>Steve Fenton x6692</cp:lastModifiedBy>
  <cp:lastPrinted>2009-08-07T13:44:45Z</cp:lastPrinted>
  <dcterms:created xsi:type="dcterms:W3CDTF">2009-08-07T13:06:35Z</dcterms:created>
  <dcterms:modified xsi:type="dcterms:W3CDTF">2009-08-07T14:18:38Z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