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075" windowHeight="8190" tabRatio="877" activeTab="4"/>
  </bookViews>
  <sheets>
    <sheet name="SBST" sheetId="1" r:id="rId1"/>
    <sheet name="Table 1" sheetId="2" r:id="rId2"/>
    <sheet name="Table 1 - CEL" sheetId="3" r:id="rId3"/>
    <sheet name="Table 1 Youth Service" sheetId="4" r:id="rId4"/>
    <sheet name="Table 2" sheetId="5" r:id="rId5"/>
    <sheet name="Table 3a" sheetId="6" r:id="rId6"/>
    <sheet name="Table 3b" sheetId="7" r:id="rId7"/>
    <sheet name="Table 4" sheetId="8" r:id="rId8"/>
    <sheet name="Sheet1" sheetId="9" r:id="rId9"/>
  </sheets>
  <externalReferences>
    <externalReference r:id="rId12"/>
  </externalReferences>
  <definedNames>
    <definedName name="enddfes">'Table 2'!$C$116</definedName>
    <definedName name="_xlnm.Print_Area" localSheetId="4">'Table 2'!$A$1:$AB$151</definedName>
    <definedName name="_xlnm.Print_Area" localSheetId="5">'Table 3a'!$A$1:$BG$102</definedName>
    <definedName name="_xlnm.Print_Area" localSheetId="6">'Table 3b'!$A$1:$AD$19</definedName>
    <definedName name="_xlnm.Print_Titles" localSheetId="1">'Table 1'!$1:$5</definedName>
    <definedName name="_xlnm.Print_Titles" localSheetId="4">'Table 2'!$B:$C,'Table 2'!$3:$11</definedName>
    <definedName name="_xlnm.Print_Titles" localSheetId="5">'Table 3a'!$A:$B,'Table 3a'!$1:$13</definedName>
    <definedName name="_xlnm.Print_Titles" localSheetId="6">'Table 3b'!$A:$B</definedName>
    <definedName name="_xlnm.Print_Titles" localSheetId="7">'Table 4'!$1:$8</definedName>
    <definedName name="startdfes">'Table 2'!#REF!</definedName>
  </definedNames>
  <calcPr fullCalcOnLoad="1"/>
</workbook>
</file>

<file path=xl/comments8.xml><?xml version="1.0" encoding="utf-8"?>
<comments xmlns="http://schemas.openxmlformats.org/spreadsheetml/2006/main">
  <authors>
    <author>JPLATT</author>
  </authors>
  <commentList>
    <comment ref="G51"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I51"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G52"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I52"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G53"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I53"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G54"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I54"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G55"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I55"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G56"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I56"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G57"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I57"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G58"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I58"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G59"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I59"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K59"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G60"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I60"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G61"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I61"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K61"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G72"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List>
</comments>
</file>

<file path=xl/sharedStrings.xml><?xml version="1.0" encoding="utf-8"?>
<sst xmlns="http://schemas.openxmlformats.org/spreadsheetml/2006/main" count="2849" uniqueCount="835">
  <si>
    <t>Line 4 amended for £100,000 Specialist School Capital Grant and £258,400 Computers for pupils, both 100% grant funded</t>
  </si>
  <si>
    <t>Lump sum - variable according to school type - detailed sub-components of this factor are maintained and published to schools</t>
  </si>
  <si>
    <t xml:space="preserve">Catering paid meals - where catering is not delegated, this factor represents a re-imbursement for energy and admin from the paid meals income. Where catering is delegated, schools receive the income, so this factor is not paid. </t>
  </si>
  <si>
    <t>BUDGET ADJUSTMENTS e.g. prior year adjustments  (33)</t>
  </si>
  <si>
    <t>TRANSITIONAL PROVISION (34)</t>
  </si>
  <si>
    <t>MINIMUM FUNDING GUARANTEE (35)</t>
  </si>
  <si>
    <t>As outlined in the regulations, the MFg has been calculated as:</t>
  </si>
  <si>
    <t xml:space="preserve">a) place values increased by 3.4% +b) all other factors increased by 3.4%. These 2 MFG components have been calculated separately then netted off to determine the level of MFG. </t>
  </si>
  <si>
    <t>The MFG calculation excludes water rates, but includes teacher pay grants delegated in 2006-07 in the place values.</t>
  </si>
  <si>
    <t xml:space="preserve">Just one special school receives MFG, as a result of the deletion of an actual/average salary factor for 2006-07, which has been included in the MFG. </t>
  </si>
  <si>
    <t>TOTAL FUNDS AVAILABLE TO SPECIAL SCHOOLS   (36)</t>
  </si>
  <si>
    <t>TOTAL FUNDS AVAILABLE TO ALL SCHOOLS    (37)</t>
  </si>
  <si>
    <t>All Schools</t>
  </si>
  <si>
    <t>Note that the information provided in this section is taken into account by the DfES.</t>
  </si>
  <si>
    <t>Detailed Calculation</t>
  </si>
  <si>
    <t>Spending under CEL</t>
  </si>
  <si>
    <t>Schools Budget Summary Table</t>
  </si>
  <si>
    <t>2006-07</t>
  </si>
  <si>
    <t>This table provides an account of the main sources of funding available to LEAs to support for their Schools Budget, including any additional funding provided by the authority.</t>
  </si>
  <si>
    <t>2005-06
DSG Baseline
(Actuals)</t>
  </si>
  <si>
    <t>2007-08</t>
  </si>
  <si>
    <t>(a)</t>
  </si>
  <si>
    <t>(b)</t>
  </si>
  <si>
    <t>(c)</t>
  </si>
  <si>
    <t>1    Dedicated Schools Grant - LEA's estimate of pupil numbers (from 2006-07)</t>
  </si>
  <si>
    <t>2    Dedicated Schools Grant - Guaranteed Funding of Per Pupil (from 2006-07)</t>
  </si>
  <si>
    <t>3    Estimated Dedicated Schools Grant (from 2006-07)</t>
  </si>
  <si>
    <t>4   School Standards Grant</t>
  </si>
  <si>
    <t>5   School Development Grant</t>
  </si>
  <si>
    <t>6   Other Standards Fund Grants</t>
  </si>
  <si>
    <t>7   LSC funding</t>
  </si>
  <si>
    <t>8   LEA additional contribution</t>
  </si>
  <si>
    <t>9   Total funding supporting the Schools Budget (lines 3 to 8)</t>
  </si>
  <si>
    <t/>
  </si>
  <si>
    <t>Table 1 - LEA level information</t>
  </si>
  <si>
    <t>Nursery</t>
  </si>
  <si>
    <t>Primary</t>
  </si>
  <si>
    <t>Secondary</t>
  </si>
  <si>
    <t>Special</t>
  </si>
  <si>
    <t>Gross</t>
  </si>
  <si>
    <t>Income</t>
  </si>
  <si>
    <t>Net</t>
  </si>
  <si>
    <t>Schools Budget</t>
  </si>
  <si>
    <t>(d)</t>
  </si>
  <si>
    <t>(e)</t>
  </si>
  <si>
    <t>(f)</t>
  </si>
  <si>
    <t>(g)</t>
  </si>
  <si>
    <t>1.0.1</t>
  </si>
  <si>
    <t>Individual Schools Budget</t>
  </si>
  <si>
    <t>1.0.2</t>
  </si>
  <si>
    <t>School Standards Grant - Maintained Schools</t>
  </si>
  <si>
    <t>1.0.3</t>
  </si>
  <si>
    <t>School Standards Grant - Pupil Referral Units</t>
  </si>
  <si>
    <t>1.0.4</t>
  </si>
  <si>
    <t>School Development Grant</t>
  </si>
  <si>
    <t>1.0.5</t>
  </si>
  <si>
    <t>Other Standards Fund Allocation - Devolved</t>
  </si>
  <si>
    <t>1.0.6</t>
  </si>
  <si>
    <t>Devolved School Meals Grant</t>
  </si>
  <si>
    <t>1.0.7</t>
  </si>
  <si>
    <t>Targeted School Meals Grant - Devolved</t>
  </si>
  <si>
    <t>1.0.8</t>
  </si>
  <si>
    <t>Threshold and Performance Pay (Devolved)</t>
  </si>
  <si>
    <t>1.1.1</t>
  </si>
  <si>
    <t>Support for schools in financial difficulty</t>
  </si>
  <si>
    <t>1.1.2</t>
  </si>
  <si>
    <t>School-specific contingencies</t>
  </si>
  <si>
    <t>1.1.3</t>
  </si>
  <si>
    <t>14 - 16 More Practical Learning Options</t>
  </si>
  <si>
    <t>1.2.1</t>
  </si>
  <si>
    <t>Provision for pupils with SEN, with and without statements</t>
  </si>
  <si>
    <t>1.2.2</t>
  </si>
  <si>
    <t>Provision for pupils with SEN, with and without statements, not included in line 1.2.1</t>
  </si>
  <si>
    <t>1.2.3</t>
  </si>
  <si>
    <t>Support for inclusion</t>
  </si>
  <si>
    <t>1.2.4</t>
  </si>
  <si>
    <t>Fees for pupils at independent special schools &amp; abroad</t>
  </si>
  <si>
    <t>1.2.5</t>
  </si>
  <si>
    <t>Fees to independent schools for pupils without statements of SEN</t>
  </si>
  <si>
    <t>1.2.6</t>
  </si>
  <si>
    <t>SEN transport</t>
  </si>
  <si>
    <t>1.2.7</t>
  </si>
  <si>
    <t xml:space="preserve">Contribution to combined budgets </t>
  </si>
  <si>
    <t>1.2.8</t>
  </si>
  <si>
    <t>Inter-authority recoupment</t>
  </si>
  <si>
    <t>1.3.1</t>
  </si>
  <si>
    <t>Pupil Referral Units</t>
  </si>
  <si>
    <t>1.3.2</t>
  </si>
  <si>
    <t>Behaviour Support Services</t>
  </si>
  <si>
    <t>1.3.3</t>
  </si>
  <si>
    <t>Education out of school</t>
  </si>
  <si>
    <t>1.3.4</t>
  </si>
  <si>
    <t>Private/voluntary/independent fees for education of children under 5</t>
  </si>
  <si>
    <t>1.4.1</t>
  </si>
  <si>
    <t>School Meals  - nursery, primary and special schools</t>
  </si>
  <si>
    <t>1.4.2</t>
  </si>
  <si>
    <t>Free School Meals -  eligibility</t>
  </si>
  <si>
    <t>1.4.3</t>
  </si>
  <si>
    <t>Milk</t>
  </si>
  <si>
    <t>1.4.4</t>
  </si>
  <si>
    <t>School Kitchens  -  repair and maintenance</t>
  </si>
  <si>
    <t>1.5.1</t>
  </si>
  <si>
    <t>Insurance</t>
  </si>
  <si>
    <t>1.5.2</t>
  </si>
  <si>
    <t>Museum Services</t>
  </si>
  <si>
    <t>1.5.3</t>
  </si>
  <si>
    <t>Library Services - nursery, primary and special schools</t>
  </si>
  <si>
    <t>1.5.4</t>
  </si>
  <si>
    <t>School admissions</t>
  </si>
  <si>
    <t>1.5.5</t>
  </si>
  <si>
    <t xml:space="preserve">Licences/subscriptions </t>
  </si>
  <si>
    <t>1.5.6</t>
  </si>
  <si>
    <t>Miscellaneous (not more than 0.1% total net SB)</t>
  </si>
  <si>
    <t>1.5.7</t>
  </si>
  <si>
    <t>Servicing of schools forums</t>
  </si>
  <si>
    <t>1.5.8</t>
  </si>
  <si>
    <t>Staff costs - supply cover (not sickness)</t>
  </si>
  <si>
    <t>1.5.9</t>
  </si>
  <si>
    <t>Supply cover - long term sickness</t>
  </si>
  <si>
    <t>1.5.10</t>
  </si>
  <si>
    <t>Termination of Employment Costs</t>
  </si>
  <si>
    <t>1.6.1</t>
  </si>
  <si>
    <t>School Development Grant - Non-Devolved</t>
  </si>
  <si>
    <t>1.6.2</t>
  </si>
  <si>
    <t>Other Standards Fund Allocation - Non-Devolved</t>
  </si>
  <si>
    <t>1.6.3</t>
  </si>
  <si>
    <t>Non-Standards Fund specific grant</t>
  </si>
  <si>
    <t>1.6.4</t>
  </si>
  <si>
    <t>Targeted School Meals Grant - Non-Devolved</t>
  </si>
  <si>
    <t>1.6.5</t>
  </si>
  <si>
    <t>Performance Reward Grant</t>
  </si>
  <si>
    <t>1.7.1</t>
  </si>
  <si>
    <t>Capital Expenditure from Revenue (CERA) (Schools)</t>
  </si>
  <si>
    <t>1.7.2</t>
  </si>
  <si>
    <t>Prudential borrowing costs</t>
  </si>
  <si>
    <t>1.8.1</t>
  </si>
  <si>
    <t>TOTAL SCHOOLS BUDGET</t>
  </si>
  <si>
    <t>LEA BUDGET</t>
  </si>
  <si>
    <t>STRATEGIC MANAGEMENT</t>
  </si>
  <si>
    <t>2.0.1</t>
  </si>
  <si>
    <t>Statutory / regulatory duties</t>
  </si>
  <si>
    <t>2.0.2</t>
  </si>
  <si>
    <t>Premature retirement costs / redundancy costs</t>
  </si>
  <si>
    <t>2.0.3</t>
  </si>
  <si>
    <t>Existing early retirement costs (commitments entered into by 31/3/99)</t>
  </si>
  <si>
    <t>2.0.4</t>
  </si>
  <si>
    <t>Residual pension liability (eg FE, Careers Service, etc.)</t>
  </si>
  <si>
    <t>2.0.5</t>
  </si>
  <si>
    <t>Joint use arrangements</t>
  </si>
  <si>
    <t>2.0.6</t>
  </si>
  <si>
    <t>2.0.7</t>
  </si>
  <si>
    <t>Monitoring National Curriculum Assessment</t>
  </si>
  <si>
    <t>2.0.8</t>
  </si>
  <si>
    <t>Total Strategic Management</t>
  </si>
  <si>
    <t>SPECIFIC GRANTS AND SPECIFIC FORMULA GRANTS</t>
  </si>
  <si>
    <t>2.1.1</t>
  </si>
  <si>
    <t>School Development Grant - non-devolved</t>
  </si>
  <si>
    <t>2.1.2</t>
  </si>
  <si>
    <t>Other Standards Fund - non-devolved</t>
  </si>
  <si>
    <t>2.1.3</t>
  </si>
  <si>
    <t>2.1.4</t>
  </si>
  <si>
    <t>Total Specific Grants</t>
  </si>
  <si>
    <t xml:space="preserve">SPECIAL EDUCATION </t>
  </si>
  <si>
    <t>2.2.1</t>
  </si>
  <si>
    <t>Educational Psychology Service</t>
  </si>
  <si>
    <t>2.2.2</t>
  </si>
  <si>
    <t>SEN administration, assessment and co-ordination</t>
  </si>
  <si>
    <t>2.2.3</t>
  </si>
  <si>
    <t>LEA functions in relation to child protection</t>
  </si>
  <si>
    <t>2.2.4</t>
  </si>
  <si>
    <t>Therapies and other Health Related Services</t>
  </si>
  <si>
    <t>2.2.5</t>
  </si>
  <si>
    <t>Parent partnership, guidance and information</t>
  </si>
  <si>
    <t>2.2.6</t>
  </si>
  <si>
    <t>Monitoring of SEN provision</t>
  </si>
  <si>
    <t>2.2.7</t>
  </si>
  <si>
    <t>Total Special Education</t>
  </si>
  <si>
    <t>SCHOOL IMPROVEMENT</t>
  </si>
  <si>
    <t>2.3.1</t>
  </si>
  <si>
    <t>School improvement</t>
  </si>
  <si>
    <t>ACCESS</t>
  </si>
  <si>
    <t>2.4.1</t>
  </si>
  <si>
    <t>Asset management</t>
  </si>
  <si>
    <t>2.4.2</t>
  </si>
  <si>
    <t>Supply of school places</t>
  </si>
  <si>
    <t>2.4.3</t>
  </si>
  <si>
    <t>Excluded pupils</t>
  </si>
  <si>
    <t>2.4.4</t>
  </si>
  <si>
    <t>Behaviour support Plans</t>
  </si>
  <si>
    <t>2.4.5</t>
  </si>
  <si>
    <t>Pupil support</t>
  </si>
  <si>
    <t>2.4.6</t>
  </si>
  <si>
    <t>Home to school transport: SEN transport expenditure</t>
  </si>
  <si>
    <t>2.4.7</t>
  </si>
  <si>
    <t>Home to school transport: other home to school transport expenditure</t>
  </si>
  <si>
    <t>2.4.8</t>
  </si>
  <si>
    <t>Home to college transport: SEN transport expenditure</t>
  </si>
  <si>
    <t>2.4.9</t>
  </si>
  <si>
    <t>Home to college transport: other home to college transport expenditure</t>
  </si>
  <si>
    <t>2.4.10</t>
  </si>
  <si>
    <t>Education Welfare Service</t>
  </si>
  <si>
    <t>2.4.11</t>
  </si>
  <si>
    <t>Music Service (not Standards Fund supported)</t>
  </si>
  <si>
    <t>2.4.12</t>
  </si>
  <si>
    <t>Visual and Performing Arts (other than music)</t>
  </si>
  <si>
    <t>2.4.13</t>
  </si>
  <si>
    <t>Outdoor Education including Environmental and Field Studies (not sports)</t>
  </si>
  <si>
    <t>2.4.14</t>
  </si>
  <si>
    <t>Total Access</t>
  </si>
  <si>
    <t xml:space="preserve"> </t>
  </si>
  <si>
    <t>2.5.1</t>
  </si>
  <si>
    <t>Capital Expenditure from Revenue (CERA) (LEA Central Functions)</t>
  </si>
  <si>
    <t>2.6.1</t>
  </si>
  <si>
    <t xml:space="preserve">Total LEA Central Functions  </t>
  </si>
  <si>
    <t>YOUTH AND COMMUNITY</t>
  </si>
  <si>
    <t>2.7.1</t>
  </si>
  <si>
    <t>Youth Service</t>
  </si>
  <si>
    <t>2.7.2</t>
  </si>
  <si>
    <t>Adult and Community learning</t>
  </si>
  <si>
    <t>2.7.3</t>
  </si>
  <si>
    <t>Mandatory Awards</t>
  </si>
  <si>
    <t>2.7.4</t>
  </si>
  <si>
    <t>Student Support under new arrangements</t>
  </si>
  <si>
    <t>2.7.5</t>
  </si>
  <si>
    <t>Discretionary Awards</t>
  </si>
  <si>
    <t>2.7.6</t>
  </si>
  <si>
    <t>Capital Expenditure from Revenue (CERA) (Youth &amp; Community)</t>
  </si>
  <si>
    <t>2.7.7</t>
  </si>
  <si>
    <t>Total Youth and Community</t>
  </si>
  <si>
    <t>2.8.1</t>
  </si>
  <si>
    <t xml:space="preserve">TOTAL LEA BUDGET  </t>
  </si>
  <si>
    <t>TOTAL EDUCATION REVENUE EXPENDITURE</t>
  </si>
  <si>
    <t>CAPITAL EXPENDITURE (excl. CERA)</t>
  </si>
  <si>
    <t xml:space="preserve">MEMORANDUM ITEMS </t>
  </si>
  <si>
    <t>Expenditure covered by LSC Grant - Include below the part of the expenditure recorded in individual lines of section 52 budget that is supported by the Learning and Skills Council.</t>
  </si>
  <si>
    <t>5a.1</t>
  </si>
  <si>
    <t>SIXTH FORM - Allocation from LSC for 16+ funding for secondary schools (included in expenditure 1.0.1 column (c))</t>
  </si>
  <si>
    <t>5a.2</t>
  </si>
  <si>
    <t>SIXTH FORM - Allocation from LSC for 16+ funding for special schools (included in expenditure 1.0.1 column (d))</t>
  </si>
  <si>
    <t>5b.1</t>
  </si>
  <si>
    <t>Sixth form element included at 1.2.1 above for pupils with and without statements</t>
  </si>
  <si>
    <t>5b.2</t>
  </si>
  <si>
    <t>Sixth form element included at 1.2.2 above for pupils with and without statements</t>
  </si>
  <si>
    <t>5b.3</t>
  </si>
  <si>
    <t>Sixth form element included at 1.2.4 above for pupils at independent special schools and abroad</t>
  </si>
  <si>
    <t>5b.4</t>
  </si>
  <si>
    <t>Sixth form element included at 1.2.5 above for pupils at independent schools (pupils without statements)</t>
  </si>
  <si>
    <t>5c.1</t>
  </si>
  <si>
    <t>LSC Threshold and Performance Pay Costs (included in expenditure at 1.0.1 columns c and d)</t>
  </si>
  <si>
    <t>5c.2</t>
  </si>
  <si>
    <t>LSC Threshold and Performance Pay Costs (included in expenditure at 1.0.8 columns c and d)</t>
  </si>
  <si>
    <t>TABLE 1 NOTES</t>
  </si>
  <si>
    <t>Note that the information you provide in this section will be taken into account when returned to DfES.</t>
  </si>
  <si>
    <t>Version 1 Notes</t>
  </si>
  <si>
    <t>SDG &amp; other Standards Fund Grants for PRUs shown in line 1.6.1 &amp; 1.6.2 rather than line 1.3.1 to ensure SBST table grant figures are correct (£144,639 PRU SDG )</t>
  </si>
  <si>
    <t>Line 1.7.1 includes £175,180 in respect of Council contribution to Broadband Grant</t>
  </si>
  <si>
    <t xml:space="preserve">Line 2.2.5 - warning message - I don't know why the DfES expect there to be income </t>
  </si>
  <si>
    <t>This Table is provisional only and subject to change in respect of:</t>
  </si>
  <si>
    <t>Final agreed pupil numbers &amp; DSG grant; Confirmation of SSG &amp; SDG (grants).</t>
  </si>
  <si>
    <t>Changes Made for Version 2 24 July 2006</t>
  </si>
  <si>
    <t>1) Reduced overall Total Schools Budget (line 1.8.1) by reducing line 1.1.2 by £66,082, in respect of final confirmed DSG - also changes SBST Table</t>
  </si>
  <si>
    <t>2) Amended SSG Grant for new Personalised Learning additional grant - also changes Table 2 &amp; SBST</t>
  </si>
  <si>
    <t>3) Amended SDG Grant in respect of final confirmed pupil numbers - Also changes Table 2 &amp; SBST</t>
  </si>
  <si>
    <t xml:space="preserve">4) Amended Youth Service line 2.7.1, Version 1 had incorrect figures, Total LEA Buget line 2.8.1 changes accordingly. </t>
  </si>
  <si>
    <t xml:space="preserve">5) T1 Annex - Youth Service also changes. </t>
  </si>
  <si>
    <t>6) SBST Table 2007-08 updated for revised S52 2007-08 Version 1.</t>
  </si>
  <si>
    <t>Annex to Table 1: Central Expenditure Limit</t>
  </si>
  <si>
    <t>CENTRAL EXPENDITURE LIMIT</t>
  </si>
  <si>
    <r>
      <t xml:space="preserve">2006-07 Central Expenditure Limit = 2005-06 CE </t>
    </r>
    <r>
      <rPr>
        <sz val="8"/>
        <rFont val="Times New Roman"/>
        <family val="1"/>
      </rPr>
      <t>×</t>
    </r>
  </si>
  <si>
    <t>2006-07 ISB</t>
  </si>
  <si>
    <t>All LSC grant-funded expenditure to be excluded</t>
  </si>
  <si>
    <t>2005-06 ISB</t>
  </si>
  <si>
    <t>Calculation of adjustment to Central Expenditure</t>
  </si>
  <si>
    <t>1.0</t>
  </si>
  <si>
    <t>2005-06 adjusted Central Expenditure (or legal limit if lower)  (A)</t>
  </si>
  <si>
    <r>
      <t xml:space="preserve">= A </t>
    </r>
    <r>
      <rPr>
        <sz val="8"/>
        <rFont val="Times New Roman"/>
        <family val="1"/>
      </rPr>
      <t>×</t>
    </r>
    <r>
      <rPr>
        <sz val="8"/>
        <rFont val="Arial"/>
        <family val="0"/>
      </rPr>
      <t xml:space="preserve"> </t>
    </r>
  </si>
  <si>
    <t>B</t>
  </si>
  <si>
    <t>C</t>
  </si>
  <si>
    <t>Increase in adjusted ISB 2005-06 to 2006-07</t>
  </si>
  <si>
    <t>2.1</t>
  </si>
  <si>
    <t>Adjusted ISB 2006-07 (B)</t>
  </si>
  <si>
    <t>Calculation of A</t>
  </si>
  <si>
    <t>Source</t>
  </si>
  <si>
    <t>Central lines 2005-06</t>
  </si>
  <si>
    <t>B05-06 Table 1 lines 1.2.1 to 1.7.2 (net)</t>
  </si>
  <si>
    <t>2.2</t>
  </si>
  <si>
    <t>Adjusted ISB 2005-06 (C)</t>
  </si>
  <si>
    <t>less</t>
  </si>
  <si>
    <t>School specific contingencies</t>
  </si>
  <si>
    <t>B05-06 Table 1 line 1.5.6 (net)</t>
  </si>
  <si>
    <t>Calculation of Central Expenditure Limit</t>
  </si>
  <si>
    <t>LEA match funding for Standards Fund</t>
  </si>
  <si>
    <t>B05-06 Table 1 line 1.6.1 (net)</t>
  </si>
  <si>
    <t>3.1</t>
  </si>
  <si>
    <t xml:space="preserve">Value of A × (B/C) </t>
  </si>
  <si>
    <t>Non-standards fund specific grant</t>
  </si>
  <si>
    <t>B05-06 Table 1 line 1.6.2 (net)</t>
  </si>
  <si>
    <t>EiC expenditure</t>
  </si>
  <si>
    <t>B05-06 Table 1 line 1.6.3 (net)</t>
  </si>
  <si>
    <t>3.2</t>
  </si>
  <si>
    <t>Approved addition to limit</t>
  </si>
  <si>
    <t>PRG expenditure</t>
  </si>
  <si>
    <t>B05-06 Table 1 line 1.6.4 (net)</t>
  </si>
  <si>
    <t>Threshold and Performance Pay</t>
  </si>
  <si>
    <t>B05-06 Table 1 line 1.6.5 (net)</t>
  </si>
  <si>
    <t>3.3</t>
  </si>
  <si>
    <t>Approved higher limit (if applicable)</t>
  </si>
  <si>
    <t>LEA matched funding for SF grant 601A scored in line 1.7.1</t>
  </si>
  <si>
    <t>Standards Fund Allocation</t>
  </si>
  <si>
    <t>LSC Funded expenditure</t>
  </si>
  <si>
    <t>B05-06 Table 1 memo 4d1 to 4d5 (income)</t>
  </si>
  <si>
    <t>4.1</t>
  </si>
  <si>
    <t>2006-07 Central Expenditure to which limit applies</t>
  </si>
  <si>
    <t>2005-06 adjusted central expenditure</t>
  </si>
  <si>
    <t>5.1</t>
  </si>
  <si>
    <t>Is the Limit breached?</t>
  </si>
  <si>
    <t>Legal Limit</t>
  </si>
  <si>
    <t>NOTE:</t>
  </si>
  <si>
    <t>If approved higher limit granted please enter reference to Schools Forum approval (minute number/date of meeting etc):</t>
  </si>
  <si>
    <t>Lower of 2005-06 adjusted central expenditure and legal limit (A)</t>
  </si>
  <si>
    <t>Calculation of B</t>
  </si>
  <si>
    <t>ISB for 2006-07</t>
  </si>
  <si>
    <t>B06-07 Table 1 line 1.0.1 (net)</t>
  </si>
  <si>
    <t>LSC income</t>
  </si>
  <si>
    <t>B06-07 Table 1 lines 5a1, 5a2 and 5c1 (income)</t>
  </si>
  <si>
    <t>LEA additional contribution</t>
  </si>
  <si>
    <t>See guidance notes</t>
  </si>
  <si>
    <t>Adjusted ISB 2006-07 ( B )</t>
  </si>
  <si>
    <t>Calculation of C</t>
  </si>
  <si>
    <t>ISB for 2005-06</t>
  </si>
  <si>
    <t>B05-06 Table 1 line 1.0.1 (net)</t>
  </si>
  <si>
    <t>plus</t>
  </si>
  <si>
    <t>Appropriate value of threshold and performance pay grant</t>
  </si>
  <si>
    <t>Unallocated ISB</t>
  </si>
  <si>
    <t>B05-06 Table 2 memo item 31</t>
  </si>
  <si>
    <t>B05-06 Table 1 line 4b and 4c (income)</t>
  </si>
  <si>
    <t>Adjustment to ISB 2005-06 for Academies</t>
  </si>
  <si>
    <t>remove funding for 7 months</t>
  </si>
  <si>
    <t>Value of A × B / C</t>
  </si>
  <si>
    <t>06-07 Approved higher limit (if applicable)</t>
  </si>
  <si>
    <t>Limit on Central Expenditure</t>
  </si>
  <si>
    <t>Calculation of Central Expenditure for 2006-07</t>
  </si>
  <si>
    <t>Central lines 2006-07</t>
  </si>
  <si>
    <t>B06-07 Table 1 lines 1.2.1 to 1.7.2 (net)</t>
  </si>
  <si>
    <t>Threshold and performance pay costs</t>
  </si>
  <si>
    <t>B06-07 Table 1 line 1.0.8 (net)</t>
  </si>
  <si>
    <t>14-16 more practical learning options</t>
  </si>
  <si>
    <t>B06-07 Table 1 line 1.1.3 (net)</t>
  </si>
  <si>
    <t>B06-07 Table 1 line 1.6.1 (net)</t>
  </si>
  <si>
    <t>Other Standards fund Allocation - non-devolved</t>
  </si>
  <si>
    <t>B06-07 Table 1 line 1.6.2 (net)</t>
  </si>
  <si>
    <t>B06-07 Table 1 line 1.6.3 (net)</t>
  </si>
  <si>
    <t>Targeted School Meals Grant-non-devolved</t>
  </si>
  <si>
    <t>B06-07 Table 1 line 1.6.4 (net)</t>
  </si>
  <si>
    <t>B06-07 Table 1 line 1.6.5 (net)</t>
  </si>
  <si>
    <t>LEA matched funding for broadband grant scored in line 1.7.1</t>
  </si>
  <si>
    <t>B06-07 Table 1 memo 5b1 to 5b4 and 5c2 (income)</t>
  </si>
  <si>
    <t>Increase in funding on nursery provision</t>
  </si>
  <si>
    <t>Diff between 2005-06 (1.3.5) and 2006-07(1.3.4)</t>
  </si>
  <si>
    <t>Central Expenditure to which limit applies</t>
  </si>
  <si>
    <t>Is the limit breached?</t>
  </si>
  <si>
    <t>Annex to Table 1: Youth Service</t>
  </si>
  <si>
    <t>YOUTH SERVICE (NET)</t>
  </si>
  <si>
    <t>LEA Direct Spend</t>
  </si>
  <si>
    <t>Contracted with Voluntary Organisations</t>
  </si>
  <si>
    <t>Contracted with Other Organisations</t>
  </si>
  <si>
    <t>Voluntary Organisations Grant Aid</t>
  </si>
  <si>
    <t>TOTAL</t>
  </si>
  <si>
    <t>Management</t>
  </si>
  <si>
    <t>Full Time</t>
  </si>
  <si>
    <t>Part Time</t>
  </si>
  <si>
    <t>Youth Workers</t>
  </si>
  <si>
    <t>Support Staff</t>
  </si>
  <si>
    <t>Staff Training</t>
  </si>
  <si>
    <t>Non-Staff Costs</t>
  </si>
  <si>
    <t>Total Running Costs (Table 1, Line 2.7.1, Net)</t>
  </si>
  <si>
    <t>Capital (Table 1, Line 2.7.6, Net, Youth Service element)</t>
  </si>
  <si>
    <t xml:space="preserve">YOUTH SERVICE TOTAL </t>
  </si>
  <si>
    <t>Table 2 - School level information</t>
  </si>
  <si>
    <t>Nursery / Primary / Secondary schools</t>
  </si>
  <si>
    <t xml:space="preserve"> (3)
Total age-weighted funding</t>
  </si>
  <si>
    <t>(4)
Total Additional Pupil Led Funding</t>
  </si>
  <si>
    <t>(5)
Total LSC Funding</t>
  </si>
  <si>
    <t>(6)
Total Special Educational Needs (pupil led)</t>
  </si>
  <si>
    <t>(7)
Social Deprivation</t>
  </si>
  <si>
    <t>(8)
Total Special non-statemented (non pupil-led) Educational Needs</t>
  </si>
  <si>
    <t>(9)
Total Site-specific factors</t>
  </si>
  <si>
    <t>(10)
Total School-specific factors</t>
  </si>
  <si>
    <t>(11)
Total budget adjustments</t>
  </si>
  <si>
    <t>(12)
Minimum funding guarantee</t>
  </si>
  <si>
    <t>(13) TOTAL BUDGET SHARE</t>
  </si>
  <si>
    <t>MFG VARIATION APPLIED?</t>
  </si>
  <si>
    <t>Memorandum Items</t>
  </si>
  <si>
    <t>Grants</t>
  </si>
  <si>
    <t>Other</t>
  </si>
  <si>
    <t>(15)
SCHOOL STANDARDS GRANT</t>
  </si>
  <si>
    <t>(16a)
SCHOOL DEVELOPMENT GRANT</t>
  </si>
  <si>
    <t>(16b)
OTHER STANDARDS FUND ALLOCATION</t>
  </si>
  <si>
    <t>(17)
DEVOLVED SCHOOL MEALS GRANT</t>
  </si>
  <si>
    <t>(18)
TARGETED SCHOOL MEALS GRANT</t>
  </si>
  <si>
    <t>(19)
THRESHOLD AND PERFORMANCE PAY</t>
  </si>
  <si>
    <t>(20)
SUPPORT FOR SCHOOLS IN FINANCIAL DIFFICULTY</t>
  </si>
  <si>
    <t>(21)
NOTIONAL SEN BUDGET</t>
  </si>
  <si>
    <t>(22)
LSC Pupils (Jan 2006)</t>
  </si>
  <si>
    <t>(23)
SCHOOL OPENING / CLOSING</t>
  </si>
  <si>
    <t>(24)
DATE OPENING / CLOSING</t>
  </si>
  <si>
    <t>(1) School name</t>
  </si>
  <si>
    <t>(2) DfES number</t>
  </si>
  <si>
    <t>£</t>
  </si>
  <si>
    <t>(13a)
January 2006 Pupil Count
(FTE registered pupils)</t>
  </si>
  <si>
    <t>(14)
£ per pupil</t>
  </si>
  <si>
    <t>C OR O</t>
  </si>
  <si>
    <t>dd mmm yy</t>
  </si>
  <si>
    <t>No Variation Applied</t>
  </si>
  <si>
    <t>Primary Schools</t>
  </si>
  <si>
    <t>School Forum</t>
  </si>
  <si>
    <t>(26) Total/average Primary Schools</t>
  </si>
  <si>
    <t>Secondary Schools</t>
  </si>
  <si>
    <t>(27) Total/average Secondary Schools</t>
  </si>
  <si>
    <t>Special schools</t>
  </si>
  <si>
    <t xml:space="preserve"> (3a)
Total place-led funding</t>
  </si>
  <si>
    <t>(4a)
Total Pupil-led Funding</t>
  </si>
  <si>
    <t>dd mm yy</t>
  </si>
  <si>
    <t>(28) Total/average Special Schools</t>
  </si>
  <si>
    <t>(29) Total All Schools</t>
  </si>
  <si>
    <t>Memorandum items</t>
  </si>
  <si>
    <t>(30) Academy Funding for SEN pupils that would normally be delegated</t>
  </si>
  <si>
    <t>(31) Academy Other Standards Fund</t>
  </si>
  <si>
    <t>(32) Academy Schools Development Grant</t>
  </si>
  <si>
    <t>(33) Unallocated Other Standards Fund</t>
  </si>
  <si>
    <t>(34) Unallocated Schools Development Grant</t>
  </si>
  <si>
    <t>(35) Unallocated Targeted School Meals Grant</t>
  </si>
  <si>
    <t>(36) Total Targeted School Meals Grant</t>
  </si>
  <si>
    <t>(37) Total ISB</t>
  </si>
  <si>
    <t>(38) Total Devolved Standards Fund</t>
  </si>
  <si>
    <t>(39) Total Schools Development Grant</t>
  </si>
  <si>
    <t>TABLE 2 Notes</t>
  </si>
  <si>
    <t>Validation Warning: Kingshurst Infant - one-off funding of £185,000 in respect of school re-organisation has been removed from budget compared to 2005-06</t>
  </si>
  <si>
    <t>MFG Variations:</t>
  </si>
  <si>
    <t xml:space="preserve">Secondary Schools - every secondary school has the MFG modified in respect of a formualic delegation of SEN resources new for 2006-07. </t>
  </si>
  <si>
    <t>In addition, 2 secondary schools have had their MFG adjusted in respect of pupil numbers, where not to do so would give an anomolous result.</t>
  </si>
  <si>
    <t>Primary Schools: 9 primary schools have had their MFG modified:</t>
  </si>
  <si>
    <t xml:space="preserve">2 schools experiencing rapidly rising rolls as a result of expansion; 2 schools for closing SEN units; 5 schools where the move from Agg Roll to Jan Roll </t>
  </si>
  <si>
    <t xml:space="preserve">would give an anomolous result. </t>
  </si>
  <si>
    <t>Alcott Hall Junior and Infant School</t>
  </si>
  <si>
    <t>Balsall Common Primary School</t>
  </si>
  <si>
    <t>Bennetts Well Junior and Infant School</t>
  </si>
  <si>
    <t>Bentley Heath Church of England Primary School</t>
  </si>
  <si>
    <t>Berkswell Church of England Voluntary Aided Primary School</t>
  </si>
  <si>
    <t>Bishop Wilson Church of England Primary School</t>
  </si>
  <si>
    <t>Blossomfield Infant and Nursery School</t>
  </si>
  <si>
    <t>Bosworth Wood Primary School</t>
  </si>
  <si>
    <t>Burman Infant School</t>
  </si>
  <si>
    <t>Castle Bromwich Infant School</t>
  </si>
  <si>
    <t>Castle Bromwich Junior School</t>
  </si>
  <si>
    <t>Chapel Fields Junior School</t>
  </si>
  <si>
    <t>Cheswick Green Primary School</t>
  </si>
  <si>
    <t>Coleshill Heath School</t>
  </si>
  <si>
    <t>Coppice Junior School</t>
  </si>
  <si>
    <t>Cranmore Infant School</t>
  </si>
  <si>
    <t>Damson Wood Nursery and Infant School</t>
  </si>
  <si>
    <t>Daylesford Infant School</t>
  </si>
  <si>
    <t>Dickens Heath Community Primary School</t>
  </si>
  <si>
    <t>Dorridge Nursery and Infant School</t>
  </si>
  <si>
    <t>Dorridge Junior School</t>
  </si>
  <si>
    <t>George Fentham Endowed School</t>
  </si>
  <si>
    <t>Greswold Primary School</t>
  </si>
  <si>
    <t>Haslucks Green School</t>
  </si>
  <si>
    <t>Hatchford Brook Junior and Infant School</t>
  </si>
  <si>
    <t>Hatchford Community Primary School</t>
  </si>
  <si>
    <t>Hockley Heath Primary School</t>
  </si>
  <si>
    <t>Kineton Green Primary School</t>
  </si>
  <si>
    <t>Kingfisher Primary School</t>
  </si>
  <si>
    <t>Kingshurst Infant School</t>
  </si>
  <si>
    <t>Kingshurst Junior School</t>
  </si>
  <si>
    <t>Knowle Church of England Primary School</t>
  </si>
  <si>
    <t>Lady Katherine Leveson Church of England School</t>
  </si>
  <si>
    <t>Langley Primary School</t>
  </si>
  <si>
    <t>Marston Green Infant School</t>
  </si>
  <si>
    <t>Marston Green Junior School</t>
  </si>
  <si>
    <t>Meriden Church of England Primary School</t>
  </si>
  <si>
    <t>Mill Lodge Primary School</t>
  </si>
  <si>
    <t>Monkspath Junior and Infant School</t>
  </si>
  <si>
    <t>Oak Cottage Primary School</t>
  </si>
  <si>
    <t>Our Lady of Compassion Catholic Primary School</t>
  </si>
  <si>
    <t>Our Lady of The Wayside Catholic Primary School</t>
  </si>
  <si>
    <t>Peterbrook Primary School</t>
  </si>
  <si>
    <t>Sharmans Cross Junior School</t>
  </si>
  <si>
    <t>Shirley Heath Junior School</t>
  </si>
  <si>
    <t>St Alphege Church of England Infant and Nursery School</t>
  </si>
  <si>
    <t>St Alphege Church of England Junior School</t>
  </si>
  <si>
    <t>St Andrew's Catholic Primary School</t>
  </si>
  <si>
    <t>St Anne's Catholic Primary School</t>
  </si>
  <si>
    <t>St Anthony's Catholic Primary School</t>
  </si>
  <si>
    <t>St Augustine's Catholic Primary School</t>
  </si>
  <si>
    <t>St George and St Teresa Catholic Primary School</t>
  </si>
  <si>
    <t>St James Church of England Voluntary Aided Junior School</t>
  </si>
  <si>
    <t>St John The Baptist Catholic Primary School</t>
  </si>
  <si>
    <t>St Margaret's Church of England Voluntary Aided Primary School</t>
  </si>
  <si>
    <t>St Mary and St Margaret's Church of England Aided Primary School</t>
  </si>
  <si>
    <t>St Patrick's CofE Junior and Infant School</t>
  </si>
  <si>
    <t>St Patrick's Catholic Primary School</t>
  </si>
  <si>
    <t>Streetsbrook Infant and Nursery School</t>
  </si>
  <si>
    <t>Tidbury Green School</t>
  </si>
  <si>
    <t>Ulverley School</t>
  </si>
  <si>
    <t>Valley Infant School</t>
  </si>
  <si>
    <t>Widney Junior School</t>
  </si>
  <si>
    <t>Windy Arbor Junior and Infant School</t>
  </si>
  <si>
    <t>Woodlands Infant School</t>
  </si>
  <si>
    <t>Yew Tree Nursery Infant and Junior School</t>
  </si>
  <si>
    <t>Yorkswood Primary School</t>
  </si>
  <si>
    <t>Alderbrook School</t>
  </si>
  <si>
    <t>The Archbishop Grimshaw Catholic School</t>
  </si>
  <si>
    <t>Arden School</t>
  </si>
  <si>
    <t>Heart of England School</t>
  </si>
  <si>
    <t>Langley School</t>
  </si>
  <si>
    <t>Light Hall School</t>
  </si>
  <si>
    <t>Lode Heath School and Sports College</t>
  </si>
  <si>
    <t>Lyndon School</t>
  </si>
  <si>
    <t>Park Hall School</t>
  </si>
  <si>
    <t>Smith's Wood School</t>
  </si>
  <si>
    <t>St Peter's Catholic School and Specialist Science College</t>
  </si>
  <si>
    <t>Tudor Grange School</t>
  </si>
  <si>
    <t>Whitesmore School</t>
  </si>
  <si>
    <t>Forest Oak School</t>
  </si>
  <si>
    <t>Hazel Oak School</t>
  </si>
  <si>
    <t>Lanchester School</t>
  </si>
  <si>
    <t>Merstone School</t>
  </si>
  <si>
    <t>Reynalds Cross School</t>
  </si>
  <si>
    <t>Table 3a - School level information</t>
  </si>
  <si>
    <t>Table 3a</t>
  </si>
  <si>
    <t>Pupils funded by year/age groups - age-weighted funding</t>
  </si>
  <si>
    <t>Additional Pupil Led Funding</t>
  </si>
  <si>
    <t>LSC Funding</t>
  </si>
  <si>
    <t>Special educational needs (pupil led)</t>
  </si>
  <si>
    <t>Site-specific factors</t>
  </si>
  <si>
    <t>School-specific factors</t>
  </si>
  <si>
    <t>Budget adjustments</t>
  </si>
  <si>
    <t>(12)
Minimum Funding Guarantee</t>
  </si>
  <si>
    <t>(13)
TOTAL BUDGET SHARE</t>
  </si>
  <si>
    <t>nursery 3 yr olds</t>
  </si>
  <si>
    <t>nursery 4 yr olds</t>
  </si>
  <si>
    <t>Reception</t>
  </si>
  <si>
    <t>Year 1</t>
  </si>
  <si>
    <t>Year 2</t>
  </si>
  <si>
    <t>Year 3</t>
  </si>
  <si>
    <t>Year 4</t>
  </si>
  <si>
    <t>Year 5</t>
  </si>
  <si>
    <t>Year 6</t>
  </si>
  <si>
    <t>Year 7</t>
  </si>
  <si>
    <t>Year 8</t>
  </si>
  <si>
    <t>Year 9</t>
  </si>
  <si>
    <t>Year 10</t>
  </si>
  <si>
    <t>Year 11</t>
  </si>
  <si>
    <t>SEN Unit Purchased Places</t>
  </si>
  <si>
    <t>Retakes
(Year 12+)</t>
  </si>
  <si>
    <t>(22)
LSC Pupils
(Jan 2006)</t>
  </si>
  <si>
    <t>(13a)
Total January 2006 Pupil Count</t>
  </si>
  <si>
    <t>(3)
Total age-weighted funding</t>
  </si>
  <si>
    <t>Pre-School Place Led Funding Treated as Pupil-Led (Nursery Classes)</t>
  </si>
  <si>
    <t>KS1 Alternative Funding Routes</t>
  </si>
  <si>
    <t>Difference in Funding Pupils educated additionally at FE colleges</t>
  </si>
  <si>
    <t>LEA "Top-up" for Sixth Form Pupils</t>
  </si>
  <si>
    <t>LSC Grant Allocation Funding Sixth Form Pupils</t>
  </si>
  <si>
    <t>Pupils with or without statements (pupil-led)</t>
  </si>
  <si>
    <t>Prior Atainment - Personalised Learning - Jan 2005 PLASC</t>
  </si>
  <si>
    <t>Free School Meal Eligibility Jan 2005 PLASC</t>
  </si>
  <si>
    <t>Pupils with or without statements (place-led treated as pupil-led)</t>
  </si>
  <si>
    <t>Business Rates</t>
  </si>
  <si>
    <t>Water Rates</t>
  </si>
  <si>
    <t>Premises Related per m2</t>
  </si>
  <si>
    <t>Grounds Related per 100m2</t>
  </si>
  <si>
    <t>Lump Sum per School Type</t>
  </si>
  <si>
    <t>Catering - Free Meals -  If delegated - FSM Roll</t>
  </si>
  <si>
    <t>Catering - No of Paid Meals -  If Non-delegated</t>
  </si>
  <si>
    <t>Small School Curriculum Protection</t>
  </si>
  <si>
    <t>Night Cleaning Top-up - If Eligible (M2)</t>
  </si>
  <si>
    <t>Significant Change of Character No. of Pupils</t>
  </si>
  <si>
    <t>Teacher Pay Grant - Actual Element</t>
  </si>
  <si>
    <t>ExComm Facility Mgt</t>
  </si>
  <si>
    <t>Prior year adjustments</t>
  </si>
  <si>
    <t>Transitional provision - SEN Formulaic Distribution</t>
  </si>
  <si>
    <t>Abatement of Secondary Funding - 16+ Non-AWPU Factors</t>
  </si>
  <si>
    <t>Key Stage 1</t>
  </si>
  <si>
    <t>Key Stage 2</t>
  </si>
  <si>
    <t>Key Stage 3</t>
  </si>
  <si>
    <t>Key Stage 4</t>
  </si>
  <si>
    <t>Class -Based</t>
  </si>
  <si>
    <t>Ghost-Funding</t>
  </si>
  <si>
    <t>Named pupil individually assigned resources</t>
  </si>
  <si>
    <t>Proxy for High Incidence &amp; Low Cost SEN</t>
  </si>
  <si>
    <t>Proxy for Action &amp; Action +</t>
  </si>
  <si>
    <t>SEN Units</t>
  </si>
  <si>
    <t>Unit value Nursery (£)</t>
  </si>
  <si>
    <t>Unit value Primary (£)</t>
  </si>
  <si>
    <t>Var</t>
  </si>
  <si>
    <t>By Nsy Size</t>
  </si>
  <si>
    <t>2 Rates</t>
  </si>
  <si>
    <t>Various</t>
  </si>
  <si>
    <t>Actual</t>
  </si>
  <si>
    <t>2 Values</t>
  </si>
  <si>
    <t>Calculated</t>
  </si>
  <si>
    <t>1/3 Actual 2004-05</t>
  </si>
  <si>
    <t>Unit value Secondary (£)</t>
  </si>
  <si>
    <t>Pupils</t>
  </si>
  <si>
    <t>(FTE registered pupils)</t>
  </si>
  <si>
    <t>place/</t>
  </si>
  <si>
    <t>pupil led</t>
  </si>
  <si>
    <t>(1)</t>
  </si>
  <si>
    <t>(2)</t>
  </si>
  <si>
    <t>(3)</t>
  </si>
  <si>
    <t>(4)</t>
  </si>
  <si>
    <t>(5)</t>
  </si>
  <si>
    <t>(6)</t>
  </si>
  <si>
    <t>(7)</t>
  </si>
  <si>
    <t>(8)</t>
  </si>
  <si>
    <t>(9)</t>
  </si>
  <si>
    <t>(10)</t>
  </si>
  <si>
    <t>(11)</t>
  </si>
  <si>
    <t>(12)</t>
  </si>
  <si>
    <t>(13)</t>
  </si>
  <si>
    <t>(22)</t>
  </si>
  <si>
    <t>(13a)</t>
  </si>
  <si>
    <t>Primary Total</t>
  </si>
  <si>
    <t>Secondary Total</t>
  </si>
  <si>
    <t>Funding for SEN secondary pupils with SEN in receipt of individually assigned resources in Academies</t>
  </si>
  <si>
    <t>Table 3b - School level information</t>
  </si>
  <si>
    <t>Table 3b</t>
  </si>
  <si>
    <t>Place-led funding</t>
  </si>
  <si>
    <t>Pupil-led Funding</t>
  </si>
  <si>
    <t>7P</t>
  </si>
  <si>
    <t>7S</t>
  </si>
  <si>
    <t>8P</t>
  </si>
  <si>
    <t>8S</t>
  </si>
  <si>
    <t>9S</t>
  </si>
  <si>
    <t>10PP</t>
  </si>
  <si>
    <t>10P</t>
  </si>
  <si>
    <t>10S</t>
  </si>
  <si>
    <t>11P</t>
  </si>
  <si>
    <t>11S</t>
  </si>
  <si>
    <t>(13a)
Total places</t>
  </si>
  <si>
    <t>(3a)
Total place-led funding</t>
  </si>
  <si>
    <t>Catering - FSM Eligibility Jan 2005</t>
  </si>
  <si>
    <t>LSA - Named Pupil Top-Up Actual Hrs/Ave Salary</t>
  </si>
  <si>
    <t>Transitional provision</t>
  </si>
  <si>
    <t>Unit value (£)</t>
  </si>
  <si>
    <t>Places</t>
  </si>
  <si>
    <t>(3a)</t>
  </si>
  <si>
    <t>(4a)</t>
  </si>
  <si>
    <t>Special Total</t>
  </si>
  <si>
    <t>Table 4: Funding Factors</t>
  </si>
  <si>
    <t>Nursery, Primary and Secondary Schools</t>
  </si>
  <si>
    <t>PUPIL-LED FUNDING (1)</t>
  </si>
  <si>
    <t>PUPIL COUNT ARRANGEMENTS  (2)</t>
  </si>
  <si>
    <t>Supply Method of pupil count, count dates and worked example(s) where appropriate:</t>
  </si>
  <si>
    <t>Band, Range or Level (3)</t>
  </si>
  <si>
    <t>Unit Value (4)               £</t>
  </si>
  <si>
    <t xml:space="preserve">Total allocated through factor (5)  </t>
  </si>
  <si>
    <t>% of Nursery, Primary &amp; Secondary budgets (6)</t>
  </si>
  <si>
    <t>PRE-SCHOOL PLACE-LED FUNDING TREATED AS PUPIL-LED (NURSERY CLASSES) (7)</t>
  </si>
  <si>
    <t>Size</t>
  </si>
  <si>
    <t>Tchr</t>
  </si>
  <si>
    <t>Nurse</t>
  </si>
  <si>
    <t>Adult/Ratio</t>
  </si>
  <si>
    <t>Size FTE</t>
  </si>
  <si>
    <t>Nursery 3 year olds</t>
  </si>
  <si>
    <t>Primary:</t>
  </si>
  <si>
    <t>Method and worked example(s) where appropriate:</t>
  </si>
  <si>
    <t>This factor funds the staffing costs according to a 1:10 adult/child ratio as shown above, at the funded average salary for a teacher &amp; nursery support assistant.</t>
  </si>
  <si>
    <t>The size of the nursery is the number of FTE places as at the January 2006 count rounded up to the nearest 5.00 FTE.</t>
  </si>
  <si>
    <t>Where a unit is forecast to be greater in size by 10FTE places, then an agg roll is used of 5/12 Jan count + 7/12 the expected FTE (all rounded up to nearest 5.00 FTE places)</t>
  </si>
  <si>
    <t>KS 1</t>
  </si>
  <si>
    <t>ALTERNATIVE FUNDING ROUTES FROM 1/9/03 (i.e. not by AWPU)  (8)</t>
  </si>
  <si>
    <t>Class-based</t>
  </si>
  <si>
    <t>Ghost funding</t>
  </si>
  <si>
    <t>Years 1 &amp; 2</t>
  </si>
  <si>
    <t xml:space="preserve">The unit value is 1/30 of the funded average teacher salary. Reception classes are rounded up to a whole class of 30, year 1&amp;2 are added together, but it is assumed 27 children is sufficient for a viable class. The 31st, 61st child is funded through a contingency allocation on a termly basis until the class reverts to 30 or 60. </t>
  </si>
  <si>
    <t>1. Number of Reception pupils (FTE) required to give a multiple of 30 x Unit Value</t>
  </si>
  <si>
    <t>2. Number of FTE required to give Year 1 and 2 rolls combined as multiple of 27 x Unit Value</t>
  </si>
  <si>
    <t>e.g. Reception Roll = 26: No of FTE required = 30-26 = 4. Allocation = 4 x £1066.66</t>
  </si>
  <si>
    <t>Say Yr 1 Roll = 28 and Yr 2 Roll = 34; Combined roll = 28+34=62. No of FTE required = 81 (3*27) - 62 =19. Therefore Allocation = 19 x £1066.66</t>
  </si>
  <si>
    <t>AGE-WEIGHTED FUNDING  (9)</t>
  </si>
  <si>
    <t>Weighting Ratios (10)</t>
  </si>
  <si>
    <t>Key Stage</t>
  </si>
  <si>
    <t>School Year</t>
  </si>
  <si>
    <r>
      <t xml:space="preserve">Age group </t>
    </r>
    <r>
      <rPr>
        <i/>
        <sz val="8"/>
        <rFont val="Arial"/>
        <family val="2"/>
      </rPr>
      <t xml:space="preserve"> </t>
    </r>
    <r>
      <rPr>
        <sz val="8"/>
        <rFont val="Arial"/>
        <family val="2"/>
      </rPr>
      <t>(pupils’ ages as at 31</t>
    </r>
    <r>
      <rPr>
        <vertAlign val="superscript"/>
        <sz val="8"/>
        <rFont val="Arial"/>
        <family val="2"/>
      </rPr>
      <t>st</t>
    </r>
    <r>
      <rPr>
        <sz val="8"/>
        <rFont val="Arial"/>
        <family val="2"/>
      </rPr>
      <t xml:space="preserve"> August 2006)</t>
    </r>
  </si>
  <si>
    <t>Pupil numbers (10a)</t>
  </si>
  <si>
    <t>-</t>
  </si>
  <si>
    <t>Secondary:</t>
  </si>
  <si>
    <t>Difference in funding pupils educated additionally at colleges of F.E.</t>
  </si>
  <si>
    <t xml:space="preserve">In line with the single pupil count, all pupil numbers, except nursery units are as at the January 2006 count. Nursery units FTE are funded as described in (7) above. </t>
  </si>
  <si>
    <t xml:space="preserve">Pupil count excludes pupils designated to SEN units, who are funded separately. </t>
  </si>
  <si>
    <t xml:space="preserve">It is not intended to make any in-year budget re-determinations as a result of changes in pupil numbers. Schools that are subject to growth through school re-organisation are funded for additional pupils through the school re-organisation factor. </t>
  </si>
  <si>
    <t>LSC GRANT ALLOCATION FUNDING SIXTH FORM PUPILS  (11)</t>
  </si>
  <si>
    <t>FTE Pupils (LSC Funded)</t>
  </si>
  <si>
    <t xml:space="preserve">Grant figures as notified to the Council. Includes: the basic grant, the LSC TPG element and LSC clawback in respect of 2005-06. </t>
  </si>
  <si>
    <t>FUNDING OF SIXTH FORM PUPILS FROM LEA FUNDS (12)</t>
  </si>
  <si>
    <t>"Top-up"</t>
  </si>
  <si>
    <t>Re-takes</t>
  </si>
  <si>
    <t>No factors are included.</t>
  </si>
  <si>
    <t>OTHER PLACE-LED FUNDING TREATED AS PUPIL-LED such as in boarding units and hostels (13)</t>
  </si>
  <si>
    <t>SEN - pupils with or without statements (pupil-led)  (14)</t>
  </si>
  <si>
    <t>SEN - pupils with or without statements (pupil-led) Named Pupil Individually Assigned Resources (14a)</t>
  </si>
  <si>
    <t>Primary - Statemented Pupils</t>
  </si>
  <si>
    <t>All NPIAR except those in SEN Units</t>
  </si>
  <si>
    <t>Rate per no. of assigned hrs or equivelent</t>
  </si>
  <si>
    <t xml:space="preserve">      </t>
  </si>
  <si>
    <t>NPIAR in SEN Units</t>
  </si>
  <si>
    <t>Secondary - Statemented Pupils</t>
  </si>
  <si>
    <t>All NPIAR except those in SEN Units: - ESBD need or &gt;20hrs per week</t>
  </si>
  <si>
    <t>SEN - pupils with or without statements (pupil-led) Other (14b)</t>
  </si>
  <si>
    <t>Primary - Non-Statemented Pupils</t>
  </si>
  <si>
    <t>Deprivation Funding</t>
  </si>
  <si>
    <t>FSM Eligibility - Jan 2005</t>
  </si>
  <si>
    <t>per FSM Elig pupil</t>
  </si>
  <si>
    <t>Person'd Learning</t>
  </si>
  <si>
    <t>KS1</t>
  </si>
  <si>
    <t xml:space="preserve">Foundation KS score </t>
  </si>
  <si>
    <t>&lt;50</t>
  </si>
  <si>
    <t>50-85</t>
  </si>
  <si>
    <t>KS2</t>
  </si>
  <si>
    <t>Average point score Reading, Writing &amp;  Maths at KS1</t>
  </si>
  <si>
    <t>&gt;=W &lt;1</t>
  </si>
  <si>
    <t>&gt;=1&lt;2C</t>
  </si>
  <si>
    <t>Action +</t>
  </si>
  <si>
    <t>School Action</t>
  </si>
  <si>
    <t>KS3 &amp; KS4</t>
  </si>
  <si>
    <t>Average point score Eng, Maths &amp; Sci. at KS2</t>
  </si>
  <si>
    <t>L2&amp;below</t>
  </si>
  <si>
    <t>L3</t>
  </si>
  <si>
    <t>Statemented</t>
  </si>
  <si>
    <t>14a) - Named pupils with statements funded on basis of actual hours per week @ a standard hourly rate * 38 weeks. To initially determine funding, snapshot of actual hours (or equivelent) is taken as at January 2006. Funding is re-determined in-year as the named pupils and their resource is changed.</t>
  </si>
  <si>
    <t>14b) Primary Non-Statemented - funding for non-statemented pupils (school Action &amp; Action +) based on proxy indicator as indicated above. Pupils and prior atainment counted as at January 2005 census. Foundation scores fund pupils at KS1 (ave of Yr1 &amp; 2 used to calculate R). KS1 SATS used to fund KS2. Note that pupils in SEN units are excluded from this measure. We have also used the same factor to fund an element of personalised learning.</t>
  </si>
  <si>
    <t>14b) Secondary - the same proxy measure of prior atainment is used for statemented pupils (pupils with statements not in SEN Unit, &lt;20hrs per week, and not for ESBD), and non-statemented (Action &amp; Action +) but in the first year of SEN statemented delegation we are maintaining as separate formula factors. We have also used the same factor to fund an element of personalised learning.</t>
  </si>
  <si>
    <t>14b) Primary &amp; Secondary - funding for social deprivation based on free school meal eligibility as at January 2005 census</t>
  </si>
  <si>
    <t>SEN - Pupils with or without statement (place-led treated as pupil-led)   (15)</t>
  </si>
  <si>
    <t>SEN - pupils with or without statements (place-led treated as pupil-led) Named Pupil Individually Assigned Resources (15a)</t>
  </si>
  <si>
    <t xml:space="preserve">Secondary </t>
  </si>
  <si>
    <t>SEN - pupils with or without statements (place-led treated as pupil-led) Other (15b)</t>
  </si>
  <si>
    <t>15a) Not used</t>
  </si>
  <si>
    <t xml:space="preserve">15b - further details to follow - shown here is only a total of funding for each SEN unit attached to a mainstream school. </t>
  </si>
  <si>
    <t>NON PUPIL-LED FUNDING  (16)</t>
  </si>
  <si>
    <t>SOCIAL DEPRIVATION FACTORS (17)</t>
  </si>
  <si>
    <t>Solihull does use FSM eligibility to fund social deprivation need/AEN, but no threshhold factors are used, hence all such funding is shown in 14b above.</t>
  </si>
  <si>
    <t>SEN - NON-STATEMENTED (non pupil-led) SPECIAL EDUCATIONAL NEEDS  (18)</t>
  </si>
  <si>
    <t>No such factors are used</t>
  </si>
  <si>
    <t>SITE SPECIFIC FORMULA FACTORS  (19)</t>
  </si>
  <si>
    <t>Actual Value</t>
  </si>
  <si>
    <t>Premises m2</t>
  </si>
  <si>
    <t>per m2</t>
  </si>
  <si>
    <t>Grounds per 100m2</t>
  </si>
  <si>
    <t>per 100m2</t>
  </si>
  <si>
    <t>SCHOOL SPECIFIC FORMULA FACTORS (20)</t>
  </si>
  <si>
    <t>Infant</t>
  </si>
  <si>
    <t>Junior</t>
  </si>
  <si>
    <t>FSM Elig Roll Jan 2005</t>
  </si>
  <si>
    <t>Annual Count</t>
  </si>
  <si>
    <t>If Eligible</t>
  </si>
  <si>
    <t>As at 2004</t>
  </si>
  <si>
    <t>If have facility</t>
  </si>
  <si>
    <t>w'out 6th Form</t>
  </si>
  <si>
    <t>with 6th form</t>
  </si>
  <si>
    <t>BUDGET ADJUSTMENTS  (21)</t>
  </si>
  <si>
    <t>PRIOR YEAR ADJUSTMENTS  (22)</t>
  </si>
  <si>
    <t xml:space="preserve">No prior year adjustments feature have been made. </t>
  </si>
  <si>
    <t>TRANSITIONAL PROVISION (23)</t>
  </si>
  <si>
    <t xml:space="preserve">For the formulaic element of the 2006-07 delegation of SEN resources for statemented pupils, this funding is the actual difference between the formula allocation and the actual cost of statements as at January 2006. The funding will continue for as long as required for those schools that have triggered funding for 2006-07, based on a January count &amp; calculation each year. Any resources freed up will be recycled into increasing the formula unit values. </t>
  </si>
  <si>
    <t>ABATEMENT OF Secondary (11-16) FUNDING arising from operation of the LEA's formula  (24)</t>
  </si>
  <si>
    <t xml:space="preserve">For 2006-07 this factor has been substantially modified, so that it can be fairly applied to new schools and newly established sixth forms. </t>
  </si>
  <si>
    <t>The calculation is now based on: the proportion of sixth form pupils as a % of the total roll (using January 2006 census) times the total of the following factors:</t>
  </si>
  <si>
    <t>Lump sum + Business &amp; water rates + Premises m2 + grounds mtce 100m2 + night cleaning</t>
  </si>
  <si>
    <t xml:space="preserve">Therefore it now truly reflects double funding of premises factors and fixed cost funding. </t>
  </si>
  <si>
    <t>MINIMUM FUNDING GUARANTEE (25)</t>
  </si>
  <si>
    <t xml:space="preserve">Calculated in accordance with the Regulations, modified at an individual school level as agreed by Solihull School Forum. </t>
  </si>
  <si>
    <t>TOTAL FUNDS AVAILABLE TO MAINSTREAM SCHOOLS  (26)</t>
  </si>
  <si>
    <t>SPECIAL SCHOOLS   (27)</t>
  </si>
  <si>
    <t>PLACE-LED FUNDING (28)</t>
  </si>
  <si>
    <t xml:space="preserve">Roll is by reference to Council determined purchased places and will not be less than the numbers on roll at January 2006 count. The profile of pupils is by reference to ascribed profile at periodic audit of pupil profile. </t>
  </si>
  <si>
    <t>Generally, the level of purchased places is constant over a financial year. Where a school is undertaking planned growth or reduction, the level of purchased places may be equated to reflect significant changes to intake, e.g. a 5/12 &amp; 7/12 (September intake) equated roll.</t>
  </si>
  <si>
    <t>PUPIL-LED FUNDING (29)</t>
  </si>
  <si>
    <t>Free school Meal Eligibility</t>
  </si>
  <si>
    <t>Jan 2005 SLASC</t>
  </si>
  <si>
    <t>The number of pupils on roll as at January 2005 census eligible for a free school meal. Used to distribute funding for catering free meals.</t>
  </si>
  <si>
    <t>SOCIAL DEPRIVATION FACTORS  (30)</t>
  </si>
  <si>
    <t>There are no such factors in operation</t>
  </si>
  <si>
    <t>SITE SPECIFIC FORMULA FACTORS  (31)</t>
  </si>
  <si>
    <t>m2</t>
  </si>
  <si>
    <t>100m2</t>
  </si>
  <si>
    <t>Actuals</t>
  </si>
  <si>
    <t>Premises m2 is as determined by Property Services, and is reviewed annually</t>
  </si>
  <si>
    <t xml:space="preserve">Grounds m2 is as determined by Property Services. </t>
  </si>
  <si>
    <t xml:space="preserve">Water Rates - the non-variable element is funded at actual values. </t>
  </si>
  <si>
    <t>SCHOOL SPECIFIC FORMULA FACTORS  (32)</t>
  </si>
  <si>
    <t>Lump Sum per school type</t>
  </si>
  <si>
    <t>MLD</t>
  </si>
  <si>
    <t>EBD</t>
  </si>
  <si>
    <t>SLD</t>
  </si>
  <si>
    <t>Catering - non-delegated paid meals</t>
  </si>
  <si>
    <t>No. of paid meals served</t>
  </si>
  <si>
    <t>SOLIHULL SECTION 52 EDUCATION BUDGET STATEMENT 2006-07 Version 3 Published 3 August 2006</t>
  </si>
  <si>
    <t>*</t>
  </si>
  <si>
    <t>SECTION 52 EDUCATION BUDGET STATEMENT</t>
  </si>
  <si>
    <t>Year</t>
  </si>
  <si>
    <t>Local Authority Name</t>
  </si>
  <si>
    <t>Solihull</t>
  </si>
  <si>
    <t>LEA No.</t>
  </si>
  <si>
    <t>Email Address</t>
  </si>
  <si>
    <t>sfenton@solihull.gov.uk</t>
  </si>
  <si>
    <t>Contact</t>
  </si>
  <si>
    <t>Steve Fenton</t>
  </si>
  <si>
    <t>TEL.</t>
  </si>
  <si>
    <t>0121-704-6692</t>
  </si>
  <si>
    <t>Version No.</t>
  </si>
  <si>
    <t>Completion Date</t>
  </si>
  <si>
    <t>3 August 2006</t>
  </si>
  <si>
    <t>Budget 
2005-06
Total expenditure</t>
  </si>
  <si>
    <t>column</t>
  </si>
  <si>
    <t>Validation Range (queries on figures which are outside both the percentage and actual limits)</t>
  </si>
  <si>
    <t>Lower limit</t>
  </si>
  <si>
    <t>Upper limit</t>
  </si>
  <si>
    <t>Percentage change</t>
  </si>
  <si>
    <t>Actual
change</t>
  </si>
  <si>
    <t>net</t>
  </si>
  <si>
    <t>gross</t>
  </si>
  <si>
    <t>TABLE 1 COMMENTS</t>
  </si>
  <si>
    <t>TABLE 1 WORKING AREA</t>
  </si>
  <si>
    <t>This area is provided for your own use. The information you provide in this section will not be taken into account when returned to the DfES.</t>
  </si>
  <si>
    <t>Changes Made for Version 2: 24 July 2006</t>
  </si>
  <si>
    <t>Changes Made for Version 3: 3 August 2006</t>
  </si>
  <si>
    <t>Amended for confirmed Standard Fund Grants as at 3 August 2006</t>
  </si>
  <si>
    <t>Changed all lines containing "Other Standards Fund".</t>
  </si>
  <si>
    <t>SBST table also amended</t>
  </si>
  <si>
    <t xml:space="preserve">Grants amended are in respect of: </t>
  </si>
  <si>
    <t>Schools Block - Aim Higher grant 110a &amp; 110b; Grant 108 Key Stage 3</t>
  </si>
  <si>
    <t>LEA Block - Grants assumed to be LEA Block: 117; 125; 126; 127; 301; 302. All of these Grants announced after 31 March 2006.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</si>
</sst>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quot;£&quot;#,##0\)"/>
    <numFmt numFmtId="166" formatCode="0.##"/>
    <numFmt numFmtId="167" formatCode="#,##0.0;\(#,##0.0\)"/>
    <numFmt numFmtId="168" formatCode="#,##0.000000000"/>
    <numFmt numFmtId="169" formatCode="0.0"/>
    <numFmt numFmtId="170" formatCode="0.0%"/>
    <numFmt numFmtId="171" formatCode="#,##0.00;\(#,##0.00\)"/>
    <numFmt numFmtId="172" formatCode="#,##0.0000"/>
    <numFmt numFmtId="173" formatCode="#,##0.00_ ;\-#,##0.00\ "/>
    <numFmt numFmtId="174" formatCode="#,##0.00_ ;[Red]\-#,##0.00\ "/>
  </numFmts>
  <fonts count="36">
    <font>
      <sz val="9"/>
      <name val="Arial"/>
      <family val="2"/>
    </font>
    <font>
      <sz val="10"/>
      <name val="Times New Roman"/>
      <family val="0"/>
    </font>
    <font>
      <b/>
      <sz val="10"/>
      <name val="Arial"/>
      <family val="2"/>
    </font>
    <font>
      <sz val="10"/>
      <name val="Arial"/>
      <family val="2"/>
    </font>
    <font>
      <u val="single"/>
      <sz val="10"/>
      <color indexed="12"/>
      <name val="Arial"/>
      <family val="0"/>
    </font>
    <font>
      <u val="single"/>
      <sz val="9"/>
      <color indexed="12"/>
      <name val="Arial"/>
      <family val="0"/>
    </font>
    <font>
      <b/>
      <sz val="9"/>
      <name val="Arial"/>
      <family val="2"/>
    </font>
    <font>
      <sz val="8"/>
      <name val="Arial"/>
      <family val="0"/>
    </font>
    <font>
      <b/>
      <sz val="8"/>
      <name val="Arial"/>
      <family val="2"/>
    </font>
    <font>
      <u val="single"/>
      <sz val="8"/>
      <color indexed="12"/>
      <name val="Arial"/>
      <family val="0"/>
    </font>
    <font>
      <u val="single"/>
      <sz val="10"/>
      <color indexed="36"/>
      <name val="Times New Roman"/>
      <family val="0"/>
    </font>
    <font>
      <b/>
      <sz val="12"/>
      <name val="Arial"/>
      <family val="2"/>
    </font>
    <font>
      <sz val="8"/>
      <name val="Times New Roman"/>
      <family val="1"/>
    </font>
    <font>
      <i/>
      <sz val="8"/>
      <name val="Arial"/>
      <family val="2"/>
    </font>
    <font>
      <sz val="8"/>
      <color indexed="10"/>
      <name val="Arial"/>
      <family val="2"/>
    </font>
    <font>
      <i/>
      <sz val="10"/>
      <name val="Arial"/>
      <family val="2"/>
    </font>
    <font>
      <b/>
      <u val="single"/>
      <sz val="9"/>
      <color indexed="12"/>
      <name val="Arial"/>
      <family val="2"/>
    </font>
    <font>
      <b/>
      <sz val="9"/>
      <color indexed="10"/>
      <name val="Arial"/>
      <family val="2"/>
    </font>
    <font>
      <sz val="12"/>
      <name val="Arial"/>
      <family val="2"/>
    </font>
    <font>
      <sz val="10"/>
      <color indexed="8"/>
      <name val="Arial"/>
      <family val="2"/>
    </font>
    <font>
      <b/>
      <u val="single"/>
      <sz val="11"/>
      <color indexed="12"/>
      <name val="Arial"/>
      <family val="2"/>
    </font>
    <font>
      <sz val="9"/>
      <color indexed="8"/>
      <name val="Arial"/>
      <family val="2"/>
    </font>
    <font>
      <sz val="8"/>
      <color indexed="8"/>
      <name val="Arial"/>
      <family val="2"/>
    </font>
    <font>
      <sz val="16"/>
      <color indexed="10"/>
      <name val="Arial"/>
      <family val="2"/>
    </font>
    <font>
      <b/>
      <sz val="10"/>
      <name val="Times New Roman"/>
      <family val="1"/>
    </font>
    <font>
      <sz val="7"/>
      <name val="Arial"/>
      <family val="2"/>
    </font>
    <font>
      <vertAlign val="superscript"/>
      <sz val="8"/>
      <name val="Arial"/>
      <family val="2"/>
    </font>
    <font>
      <b/>
      <sz val="11"/>
      <name val="Arial"/>
      <family val="2"/>
    </font>
    <font>
      <b/>
      <u val="single"/>
      <sz val="10"/>
      <color indexed="12"/>
      <name val="Arial"/>
      <family val="2"/>
    </font>
    <font>
      <b/>
      <sz val="10"/>
      <color indexed="8"/>
      <name val="Arial"/>
      <family val="2"/>
    </font>
    <font>
      <b/>
      <u val="single"/>
      <sz val="12"/>
      <color indexed="12"/>
      <name val="Arial"/>
      <family val="2"/>
    </font>
    <font>
      <b/>
      <sz val="12"/>
      <color indexed="8"/>
      <name val="Arial"/>
      <family val="2"/>
    </font>
    <font>
      <b/>
      <sz val="8"/>
      <name val="Tahoma"/>
      <family val="2"/>
    </font>
    <font>
      <sz val="8"/>
      <name val="Tahoma"/>
      <family val="0"/>
    </font>
    <font>
      <b/>
      <sz val="12"/>
      <color indexed="13"/>
      <name val="Arial"/>
      <family val="2"/>
    </font>
    <font>
      <b/>
      <u val="single"/>
      <sz val="8"/>
      <color indexed="12"/>
      <name val="Arial"/>
      <family val="2"/>
    </font>
  </fonts>
  <fills count="22">
    <fill>
      <patternFill/>
    </fill>
    <fill>
      <patternFill patternType="gray125"/>
    </fill>
    <fill>
      <patternFill patternType="solid">
        <fgColor indexed="43"/>
        <bgColor indexed="64"/>
      </patternFill>
    </fill>
    <fill>
      <patternFill patternType="mediumGray">
        <fgColor indexed="22"/>
        <bgColor indexed="9"/>
      </patternFill>
    </fill>
    <fill>
      <patternFill patternType="solid">
        <fgColor indexed="9"/>
        <bgColor indexed="64"/>
      </patternFill>
    </fill>
    <fill>
      <patternFill patternType="mediumGray">
        <fgColor indexed="22"/>
      </patternFill>
    </fill>
    <fill>
      <patternFill patternType="solid">
        <fgColor indexed="26"/>
        <bgColor indexed="64"/>
      </patternFill>
    </fill>
    <fill>
      <patternFill patternType="darkUp">
        <fgColor indexed="55"/>
      </patternFill>
    </fill>
    <fill>
      <patternFill patternType="darkDown">
        <fgColor indexed="55"/>
      </patternFill>
    </fill>
    <fill>
      <patternFill patternType="solid">
        <fgColor indexed="47"/>
        <bgColor indexed="64"/>
      </patternFill>
    </fill>
    <fill>
      <patternFill patternType="lightUp">
        <fgColor indexed="22"/>
      </patternFill>
    </fill>
    <fill>
      <patternFill patternType="solid">
        <fgColor indexed="15"/>
        <bgColor indexed="64"/>
      </patternFill>
    </fill>
    <fill>
      <patternFill patternType="solid">
        <fgColor indexed="51"/>
        <bgColor indexed="64"/>
      </patternFill>
    </fill>
    <fill>
      <patternFill patternType="solid">
        <fgColor indexed="46"/>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indexed="52"/>
        <bgColor indexed="64"/>
      </patternFill>
    </fill>
    <fill>
      <patternFill patternType="solid">
        <fgColor indexed="49"/>
        <bgColor indexed="64"/>
      </patternFill>
    </fill>
    <fill>
      <patternFill patternType="solid">
        <fgColor indexed="22"/>
        <bgColor indexed="64"/>
      </patternFill>
    </fill>
    <fill>
      <patternFill patternType="solid">
        <fgColor indexed="60"/>
        <bgColor indexed="64"/>
      </patternFill>
    </fill>
  </fills>
  <borders count="63">
    <border>
      <left/>
      <right/>
      <top/>
      <bottom/>
      <diagonal/>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double"/>
      <right style="double"/>
      <top style="double"/>
      <bottom style="double"/>
    </border>
    <border>
      <left style="thin"/>
      <right style="thin"/>
      <top style="thin"/>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thin"/>
      <right>
        <color indexed="63"/>
      </right>
      <top>
        <color indexed="63"/>
      </top>
      <bottom>
        <color indexed="63"/>
      </bottom>
    </border>
    <border>
      <left>
        <color indexed="63"/>
      </left>
      <right>
        <color indexed="63"/>
      </right>
      <top style="thin"/>
      <bottom style="thin"/>
    </border>
    <border>
      <left style="double"/>
      <right style="double"/>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color indexed="63"/>
      </top>
      <bottom style="thin"/>
    </border>
    <border>
      <left>
        <color indexed="63"/>
      </left>
      <right>
        <color indexed="63"/>
      </right>
      <top style="thin"/>
      <bottom>
        <color indexed="63"/>
      </bottom>
    </border>
    <border>
      <left style="medium"/>
      <right style="medium"/>
      <top style="thin"/>
      <bottom style="thin"/>
    </border>
    <border>
      <left>
        <color indexed="63"/>
      </left>
      <right style="thin"/>
      <top style="medium"/>
      <bottom style="thin"/>
    </border>
    <border>
      <left style="thin"/>
      <right>
        <color indexed="63"/>
      </right>
      <top style="medium"/>
      <bottom style="thin"/>
    </border>
    <border>
      <left style="medium"/>
      <right style="medium"/>
      <top style="medium"/>
      <bottom style="thin"/>
    </border>
    <border>
      <left style="medium"/>
      <right style="medium"/>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color indexed="63"/>
      </top>
      <bottom style="thin"/>
    </border>
    <border>
      <left style="thin"/>
      <right style="thin"/>
      <top style="thin"/>
      <bottom style="medium"/>
    </border>
    <border>
      <left>
        <color indexed="63"/>
      </left>
      <right>
        <color indexed="63"/>
      </right>
      <top>
        <color indexed="63"/>
      </top>
      <bottom style="hair"/>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double"/>
      <bottom style="double"/>
    </border>
    <border>
      <left style="medium"/>
      <right>
        <color indexed="63"/>
      </right>
      <top>
        <color indexed="63"/>
      </top>
      <bottom style="double"/>
    </border>
    <border>
      <left>
        <color indexed="63"/>
      </left>
      <right style="medium"/>
      <top>
        <color indexed="63"/>
      </top>
      <bottom style="double"/>
    </border>
    <border>
      <left>
        <color indexed="63"/>
      </left>
      <right style="medium"/>
      <top style="double"/>
      <bottom style="double"/>
    </border>
    <border>
      <left style="thin"/>
      <right style="thin"/>
      <top style="thin"/>
      <bottom style="double"/>
    </border>
    <border>
      <left style="thin"/>
      <right style="medium"/>
      <top>
        <color indexed="63"/>
      </top>
      <bottom style="thin"/>
    </border>
    <border>
      <left style="medium"/>
      <right style="thin"/>
      <top style="thin"/>
      <bottom style="double"/>
    </border>
    <border>
      <left style="medium"/>
      <right>
        <color indexed="63"/>
      </right>
      <top style="double"/>
      <bottom style="thin"/>
    </border>
    <border>
      <left>
        <color indexed="63"/>
      </left>
      <right style="medium"/>
      <top style="double"/>
      <bottom style="thin"/>
    </border>
    <border>
      <left style="medium"/>
      <right style="thin"/>
      <top style="double"/>
      <bottom style="thin"/>
    </border>
    <border>
      <left style="thin"/>
      <right style="thin"/>
      <top style="double"/>
      <bottom style="thin"/>
    </border>
    <border>
      <left style="thin"/>
      <right style="medium"/>
      <top style="thin"/>
      <bottom style="double"/>
    </border>
    <border>
      <left style="medium"/>
      <right style="thin"/>
      <top style="thin"/>
      <bottom style="medium"/>
    </border>
    <border>
      <left style="thin"/>
      <right style="medium"/>
      <top style="thin"/>
      <bottom style="thin"/>
    </border>
    <border>
      <left style="medium"/>
      <right style="thin"/>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double"/>
      <top>
        <color indexed="63"/>
      </top>
      <bottom>
        <color indexed="63"/>
      </bottom>
    </border>
    <border>
      <left>
        <color indexed="63"/>
      </left>
      <right>
        <color indexed="63"/>
      </right>
      <top style="hair"/>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3" fillId="0" borderId="0">
      <alignment/>
      <protection/>
    </xf>
    <xf numFmtId="37" fontId="1" fillId="0" borderId="0">
      <alignment/>
      <protection/>
    </xf>
    <xf numFmtId="9" fontId="1" fillId="0" borderId="0" applyFont="0" applyFill="0" applyBorder="0" applyAlignment="0" applyProtection="0"/>
  </cellStyleXfs>
  <cellXfs count="919">
    <xf numFmtId="0" fontId="0" fillId="0" borderId="0" xfId="0" applyAlignment="1">
      <alignment/>
    </xf>
    <xf numFmtId="0" fontId="0" fillId="0" borderId="0" xfId="0" applyAlignment="1" applyProtection="1">
      <alignment/>
      <protection/>
    </xf>
    <xf numFmtId="0" fontId="0" fillId="2" borderId="1" xfId="0" applyFill="1" applyBorder="1" applyAlignment="1" applyProtection="1">
      <alignment/>
      <protection/>
    </xf>
    <xf numFmtId="0" fontId="2" fillId="0" borderId="0" xfId="0" applyFont="1" applyBorder="1" applyAlignment="1" applyProtection="1">
      <alignment/>
      <protection/>
    </xf>
    <xf numFmtId="0" fontId="0" fillId="0" borderId="0" xfId="0" applyFont="1" applyAlignment="1" applyProtection="1">
      <alignment horizontal="center"/>
      <protection/>
    </xf>
    <xf numFmtId="0" fontId="0" fillId="0" borderId="0" xfId="0" applyFill="1" applyAlignment="1" applyProtection="1">
      <alignment/>
      <protection/>
    </xf>
    <xf numFmtId="0" fontId="7" fillId="0" borderId="2" xfId="0" applyFont="1" applyBorder="1" applyAlignment="1" applyProtection="1">
      <alignment horizontal="center" vertical="center" wrapText="1"/>
      <protection/>
    </xf>
    <xf numFmtId="0" fontId="7" fillId="0" borderId="0" xfId="0" applyFont="1" applyAlignment="1" applyProtection="1">
      <alignment horizontal="right"/>
      <protection/>
    </xf>
    <xf numFmtId="0" fontId="7" fillId="0" borderId="0" xfId="0" applyFont="1" applyAlignment="1" applyProtection="1">
      <alignment horizontal="right"/>
      <protection/>
    </xf>
    <xf numFmtId="0" fontId="7" fillId="0" borderId="0" xfId="0" applyFont="1" applyAlignment="1" applyProtection="1">
      <alignment/>
      <protection/>
    </xf>
    <xf numFmtId="0" fontId="7" fillId="0" borderId="0" xfId="0" applyFont="1" applyAlignment="1" applyProtection="1">
      <alignment horizontal="right" vertical="top"/>
      <protection/>
    </xf>
    <xf numFmtId="0" fontId="0" fillId="0" borderId="0" xfId="0" applyFont="1" applyAlignment="1" applyProtection="1">
      <alignment/>
      <protection/>
    </xf>
    <xf numFmtId="164" fontId="7" fillId="0" borderId="1" xfId="0" applyNumberFormat="1" applyFont="1" applyBorder="1" applyAlignment="1" applyProtection="1">
      <alignment/>
      <protection locked="0"/>
    </xf>
    <xf numFmtId="164" fontId="7" fillId="0" borderId="1" xfId="0" applyNumberFormat="1" applyFont="1" applyBorder="1" applyAlignment="1" applyProtection="1">
      <alignment/>
      <protection/>
    </xf>
    <xf numFmtId="164" fontId="7" fillId="3" borderId="1" xfId="0" applyNumberFormat="1" applyFont="1" applyFill="1" applyBorder="1" applyAlignment="1" applyProtection="1">
      <alignment/>
      <protection/>
    </xf>
    <xf numFmtId="49" fontId="7" fillId="4" borderId="0" xfId="0" applyNumberFormat="1" applyFont="1" applyFill="1" applyBorder="1" applyAlignment="1" applyProtection="1">
      <alignment horizontal="right" vertical="top"/>
      <protection/>
    </xf>
    <xf numFmtId="0" fontId="7" fillId="4" borderId="0" xfId="0" applyFont="1" applyFill="1" applyBorder="1" applyAlignment="1" applyProtection="1">
      <alignment horizontal="right" vertical="top"/>
      <protection/>
    </xf>
    <xf numFmtId="0" fontId="7" fillId="4" borderId="0" xfId="0" applyFont="1" applyFill="1" applyBorder="1" applyAlignment="1" applyProtection="1">
      <alignment vertical="top"/>
      <protection/>
    </xf>
    <xf numFmtId="49" fontId="7" fillId="4" borderId="0" xfId="0" applyNumberFormat="1" applyFont="1" applyFill="1" applyAlignment="1" applyProtection="1">
      <alignment horizontal="right" vertical="top"/>
      <protection/>
    </xf>
    <xf numFmtId="49" fontId="0" fillId="4" borderId="0" xfId="0" applyNumberFormat="1" applyFont="1" applyFill="1" applyAlignment="1" applyProtection="1">
      <alignment vertical="top"/>
      <protection/>
    </xf>
    <xf numFmtId="164" fontId="7" fillId="5" borderId="1" xfId="0" applyNumberFormat="1" applyFont="1" applyFill="1" applyBorder="1" applyAlignment="1" applyProtection="1">
      <alignment/>
      <protection/>
    </xf>
    <xf numFmtId="0" fontId="7" fillId="4" borderId="0" xfId="0" applyFont="1" applyFill="1" applyAlignment="1" applyProtection="1">
      <alignment horizontal="left" vertical="top"/>
      <protection/>
    </xf>
    <xf numFmtId="0" fontId="7" fillId="4" borderId="0" xfId="0" applyFont="1" applyFill="1" applyAlignment="1" applyProtection="1">
      <alignment vertical="top"/>
      <protection/>
    </xf>
    <xf numFmtId="164" fontId="7" fillId="0" borderId="1" xfId="0" applyNumberFormat="1" applyFont="1" applyBorder="1" applyAlignment="1" applyProtection="1">
      <alignment vertical="center"/>
      <protection locked="0"/>
    </xf>
    <xf numFmtId="164" fontId="7" fillId="0" borderId="1" xfId="0" applyNumberFormat="1" applyFont="1" applyBorder="1" applyAlignment="1" applyProtection="1">
      <alignment vertical="center"/>
      <protection/>
    </xf>
    <xf numFmtId="0" fontId="0" fillId="2" borderId="1" xfId="0" applyFill="1" applyBorder="1" applyAlignment="1" applyProtection="1">
      <alignment vertical="center"/>
      <protection/>
    </xf>
    <xf numFmtId="49" fontId="6" fillId="4" borderId="0" xfId="0" applyNumberFormat="1" applyFont="1" applyFill="1" applyAlignment="1" applyProtection="1">
      <alignment vertical="top"/>
      <protection/>
    </xf>
    <xf numFmtId="0" fontId="0" fillId="4" borderId="3" xfId="0" applyFont="1" applyFill="1" applyBorder="1" applyAlignment="1" applyProtection="1">
      <alignment vertical="top" wrapText="1"/>
      <protection/>
    </xf>
    <xf numFmtId="0" fontId="0" fillId="4" borderId="0" xfId="0" applyFont="1" applyFill="1" applyAlignment="1" applyProtection="1">
      <alignment vertical="top" wrapText="1"/>
      <protection/>
    </xf>
    <xf numFmtId="0" fontId="7" fillId="0" borderId="0" xfId="0" applyFont="1" applyAlignment="1" applyProtection="1">
      <alignment vertical="top"/>
      <protection/>
    </xf>
    <xf numFmtId="0" fontId="7" fillId="4" borderId="0" xfId="0" applyFont="1" applyFill="1" applyAlignment="1" applyProtection="1">
      <alignment horizontal="right" vertical="top"/>
      <protection/>
    </xf>
    <xf numFmtId="49" fontId="0" fillId="4" borderId="0" xfId="0" applyNumberFormat="1" applyFont="1" applyFill="1" applyBorder="1" applyAlignment="1" applyProtection="1">
      <alignment vertical="top"/>
      <protection/>
    </xf>
    <xf numFmtId="164" fontId="7" fillId="0" borderId="4" xfId="0" applyNumberFormat="1" applyFont="1" applyBorder="1" applyAlignment="1" applyProtection="1">
      <alignment/>
      <protection/>
    </xf>
    <xf numFmtId="0" fontId="8" fillId="4" borderId="0" xfId="0" applyFont="1" applyFill="1" applyAlignment="1" applyProtection="1">
      <alignment horizontal="left" vertical="top"/>
      <protection/>
    </xf>
    <xf numFmtId="0" fontId="7" fillId="4" borderId="0" xfId="0" applyNumberFormat="1" applyFont="1" applyFill="1" applyAlignment="1" applyProtection="1">
      <alignment horizontal="right" vertical="top"/>
      <protection/>
    </xf>
    <xf numFmtId="0" fontId="8" fillId="4" borderId="0" xfId="0" applyFont="1" applyFill="1" applyAlignment="1" applyProtection="1">
      <alignment vertical="top"/>
      <protection/>
    </xf>
    <xf numFmtId="49" fontId="7" fillId="4" borderId="0" xfId="0" applyNumberFormat="1" applyFont="1" applyFill="1" applyAlignment="1" applyProtection="1">
      <alignment horizontal="right" vertical="center"/>
      <protection/>
    </xf>
    <xf numFmtId="0" fontId="0" fillId="4" borderId="0" xfId="0" applyFont="1" applyFill="1" applyAlignment="1" applyProtection="1">
      <alignment vertical="center" wrapText="1"/>
      <protection/>
    </xf>
    <xf numFmtId="164" fontId="7" fillId="0" borderId="5" xfId="0" applyNumberFormat="1" applyFont="1" applyBorder="1" applyAlignment="1" applyProtection="1">
      <alignment/>
      <protection locked="0"/>
    </xf>
    <xf numFmtId="164" fontId="7" fillId="0" borderId="5" xfId="0" applyNumberFormat="1" applyFont="1" applyBorder="1" applyAlignment="1" applyProtection="1">
      <alignment/>
      <protection/>
    </xf>
    <xf numFmtId="164" fontId="7" fillId="0" borderId="6" xfId="0" applyNumberFormat="1" applyFont="1" applyBorder="1" applyAlignment="1" applyProtection="1">
      <alignment/>
      <protection/>
    </xf>
    <xf numFmtId="0" fontId="7" fillId="0" borderId="1" xfId="0" applyFont="1" applyBorder="1" applyAlignment="1" applyProtection="1">
      <alignment/>
      <protection/>
    </xf>
    <xf numFmtId="0" fontId="0" fillId="4" borderId="0" xfId="0" applyFont="1" applyFill="1" applyAlignment="1" applyProtection="1">
      <alignment vertical="top"/>
      <protection/>
    </xf>
    <xf numFmtId="49" fontId="7" fillId="4" borderId="0" xfId="0" applyNumberFormat="1" applyFont="1" applyFill="1" applyAlignment="1" applyProtection="1">
      <alignment horizontal="right" vertical="top" wrapText="1"/>
      <protection/>
    </xf>
    <xf numFmtId="0" fontId="6" fillId="4" borderId="0" xfId="0" applyFont="1" applyFill="1" applyAlignment="1" applyProtection="1">
      <alignment vertical="top" wrapText="1"/>
      <protection/>
    </xf>
    <xf numFmtId="0" fontId="7" fillId="0" borderId="0" xfId="0" applyFont="1" applyAlignment="1" applyProtection="1">
      <alignment vertical="top"/>
      <protection/>
    </xf>
    <xf numFmtId="0" fontId="7" fillId="0" borderId="0" xfId="0" applyFont="1" applyAlignment="1" applyProtection="1">
      <alignment/>
      <protection/>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0" fillId="0" borderId="0" xfId="0" applyBorder="1" applyAlignment="1" applyProtection="1">
      <alignment horizontal="left"/>
      <protection locked="0"/>
    </xf>
    <xf numFmtId="0" fontId="0" fillId="0" borderId="11" xfId="0" applyBorder="1" applyAlignment="1" applyProtection="1">
      <alignment horizontal="left"/>
      <protection locked="0"/>
    </xf>
    <xf numFmtId="0" fontId="2" fillId="0" borderId="12" xfId="0" applyFont="1" applyBorder="1" applyAlignment="1" applyProtection="1">
      <alignment horizontal="left"/>
      <protection/>
    </xf>
    <xf numFmtId="0" fontId="0" fillId="6" borderId="0" xfId="0" applyFill="1" applyAlignment="1" applyProtection="1">
      <alignment/>
      <protection/>
    </xf>
    <xf numFmtId="0" fontId="0" fillId="0" borderId="0" xfId="0" applyAlignment="1" applyProtection="1">
      <alignment horizontal="right"/>
      <protection/>
    </xf>
    <xf numFmtId="0" fontId="6" fillId="0" borderId="0" xfId="0" applyFont="1" applyAlignment="1" applyProtection="1">
      <alignment/>
      <protection/>
    </xf>
    <xf numFmtId="0" fontId="6" fillId="0" borderId="0" xfId="0" applyFont="1" applyFill="1" applyAlignment="1" applyProtection="1">
      <alignment vertical="top"/>
      <protection/>
    </xf>
    <xf numFmtId="0" fontId="13" fillId="0" borderId="0" xfId="0" applyFont="1" applyFill="1" applyAlignment="1" applyProtection="1">
      <alignment/>
      <protection/>
    </xf>
    <xf numFmtId="0" fontId="8" fillId="0" borderId="0" xfId="0" applyFont="1" applyFill="1" applyAlignment="1" applyProtection="1">
      <alignment vertical="top"/>
      <protection/>
    </xf>
    <xf numFmtId="0" fontId="3" fillId="0" borderId="0" xfId="0" applyFont="1" applyFill="1" applyAlignment="1" applyProtection="1">
      <alignment/>
      <protection/>
    </xf>
    <xf numFmtId="0" fontId="7" fillId="6" borderId="13" xfId="0" applyFont="1" applyFill="1" applyBorder="1" applyAlignment="1" applyProtection="1">
      <alignment horizontal="right" vertical="center"/>
      <protection/>
    </xf>
    <xf numFmtId="0" fontId="7" fillId="6" borderId="0" xfId="0" applyFont="1" applyFill="1" applyBorder="1" applyAlignment="1" applyProtection="1">
      <alignment horizontal="right" vertical="center"/>
      <protection/>
    </xf>
    <xf numFmtId="0" fontId="8" fillId="0" borderId="0" xfId="0" applyFont="1" applyFill="1" applyAlignment="1" applyProtection="1">
      <alignment/>
      <protection/>
    </xf>
    <xf numFmtId="0" fontId="7" fillId="0" borderId="0" xfId="0" applyFont="1" applyFill="1" applyAlignment="1" applyProtection="1">
      <alignment/>
      <protection/>
    </xf>
    <xf numFmtId="0" fontId="3" fillId="0" borderId="0" xfId="0" applyFont="1" applyFill="1" applyAlignment="1" applyProtection="1">
      <alignment horizontal="right"/>
      <protection/>
    </xf>
    <xf numFmtId="0" fontId="7" fillId="6" borderId="0" xfId="0" applyFont="1" applyFill="1" applyBorder="1" applyAlignment="1" applyProtection="1">
      <alignment horizontal="center"/>
      <protection/>
    </xf>
    <xf numFmtId="0" fontId="7" fillId="0" borderId="0" xfId="0" applyFont="1" applyAlignment="1" applyProtection="1" quotePrefix="1">
      <alignment horizontal="right"/>
      <protection/>
    </xf>
    <xf numFmtId="164" fontId="7" fillId="0" borderId="1" xfId="0" applyNumberFormat="1" applyFont="1" applyFill="1" applyBorder="1" applyAlignment="1" applyProtection="1" quotePrefix="1">
      <alignment/>
      <protection/>
    </xf>
    <xf numFmtId="0" fontId="8" fillId="0" borderId="0" xfId="0" applyFont="1" applyAlignment="1" applyProtection="1">
      <alignment/>
      <protection/>
    </xf>
    <xf numFmtId="0" fontId="0" fillId="6" borderId="0" xfId="0" applyFont="1" applyFill="1" applyAlignment="1" applyProtection="1">
      <alignment horizontal="center"/>
      <protection/>
    </xf>
    <xf numFmtId="0" fontId="14" fillId="0" borderId="0" xfId="0" applyFont="1" applyAlignment="1" applyProtection="1">
      <alignment/>
      <protection/>
    </xf>
    <xf numFmtId="0" fontId="3" fillId="0" borderId="0" xfId="0" applyFont="1" applyFill="1" applyBorder="1" applyAlignment="1" applyProtection="1">
      <alignment/>
      <protection/>
    </xf>
    <xf numFmtId="0" fontId="7" fillId="6" borderId="0" xfId="0" applyFont="1" applyFill="1" applyAlignment="1" applyProtection="1">
      <alignment/>
      <protection/>
    </xf>
    <xf numFmtId="164" fontId="7" fillId="0" borderId="1" xfId="0" applyNumberFormat="1" applyFont="1" applyFill="1" applyBorder="1" applyAlignment="1" applyProtection="1">
      <alignment/>
      <protection locked="0"/>
    </xf>
    <xf numFmtId="0" fontId="7" fillId="6" borderId="0" xfId="0" applyFont="1" applyFill="1" applyAlignment="1" applyProtection="1">
      <alignment/>
      <protection/>
    </xf>
    <xf numFmtId="0" fontId="3" fillId="0" borderId="0" xfId="0" applyFont="1" applyAlignment="1" applyProtection="1">
      <alignment/>
      <protection/>
    </xf>
    <xf numFmtId="0" fontId="15" fillId="6" borderId="0" xfId="0" applyFont="1" applyFill="1" applyAlignment="1" applyProtection="1">
      <alignment horizontal="center"/>
      <protection/>
    </xf>
    <xf numFmtId="9" fontId="7" fillId="6" borderId="0" xfId="0" applyNumberFormat="1" applyFont="1" applyFill="1" applyAlignment="1" applyProtection="1">
      <alignment/>
      <protection/>
    </xf>
    <xf numFmtId="0" fontId="13" fillId="0" borderId="0" xfId="0" applyFont="1" applyAlignment="1" applyProtection="1">
      <alignment/>
      <protection/>
    </xf>
    <xf numFmtId="0" fontId="0" fillId="0" borderId="0" xfId="0" applyBorder="1" applyAlignment="1" applyProtection="1">
      <alignment/>
      <protection/>
    </xf>
    <xf numFmtId="164" fontId="3" fillId="0" borderId="0" xfId="0" applyNumberFormat="1" applyFont="1" applyFill="1" applyBorder="1" applyAlignment="1" applyProtection="1">
      <alignment/>
      <protection/>
    </xf>
    <xf numFmtId="0" fontId="7" fillId="0" borderId="0" xfId="0" applyFont="1" applyAlignment="1" applyProtection="1" quotePrefix="1">
      <alignment horizontal="right"/>
      <protection/>
    </xf>
    <xf numFmtId="0" fontId="8" fillId="0" borderId="0" xfId="0" applyFont="1" applyAlignment="1" applyProtection="1" quotePrefix="1">
      <alignment horizontal="right"/>
      <protection/>
    </xf>
    <xf numFmtId="164" fontId="7" fillId="0" borderId="6" xfId="0" applyNumberFormat="1" applyFont="1" applyFill="1" applyBorder="1" applyAlignment="1" applyProtection="1">
      <alignment/>
      <protection/>
    </xf>
    <xf numFmtId="0" fontId="7" fillId="6" borderId="0" xfId="0" applyFont="1" applyFill="1" applyBorder="1" applyAlignment="1" applyProtection="1">
      <alignment/>
      <protection/>
    </xf>
    <xf numFmtId="0" fontId="0" fillId="6" borderId="14" xfId="0" applyFill="1" applyBorder="1" applyAlignment="1" applyProtection="1">
      <alignment/>
      <protection/>
    </xf>
    <xf numFmtId="164" fontId="7" fillId="6" borderId="1" xfId="0" applyNumberFormat="1" applyFont="1" applyFill="1" applyBorder="1" applyAlignment="1" applyProtection="1">
      <alignment/>
      <protection/>
    </xf>
    <xf numFmtId="164" fontId="7" fillId="0" borderId="6" xfId="0" applyNumberFormat="1" applyFont="1" applyFill="1" applyBorder="1" applyAlignment="1" applyProtection="1">
      <alignment horizontal="center"/>
      <protection/>
    </xf>
    <xf numFmtId="0" fontId="0" fillId="6" borderId="0" xfId="0" applyFill="1" applyAlignment="1" applyProtection="1">
      <alignment/>
      <protection/>
    </xf>
    <xf numFmtId="0" fontId="6" fillId="0" borderId="7" xfId="0" applyFont="1" applyBorder="1" applyAlignment="1" applyProtection="1">
      <alignment horizontal="left"/>
      <protection/>
    </xf>
    <xf numFmtId="0" fontId="6" fillId="0" borderId="8" xfId="0" applyFont="1" applyBorder="1" applyAlignment="1" applyProtection="1">
      <alignment horizontal="left"/>
      <protection/>
    </xf>
    <xf numFmtId="0" fontId="6" fillId="0" borderId="9" xfId="0" applyFont="1" applyBorder="1" applyAlignment="1" applyProtection="1">
      <alignment horizontal="left"/>
      <protection/>
    </xf>
    <xf numFmtId="0" fontId="7" fillId="6" borderId="0" xfId="0" applyFont="1" applyFill="1" applyAlignment="1" applyProtection="1">
      <alignment horizontal="left"/>
      <protection/>
    </xf>
    <xf numFmtId="0" fontId="15" fillId="6" borderId="0" xfId="0" applyFont="1" applyFill="1" applyAlignment="1" applyProtection="1">
      <alignment horizontal="center" vertical="top"/>
      <protection/>
    </xf>
    <xf numFmtId="0" fontId="2" fillId="6" borderId="1" xfId="0" applyFont="1" applyFill="1" applyBorder="1" applyAlignment="1" applyProtection="1">
      <alignment horizontal="center"/>
      <protection/>
    </xf>
    <xf numFmtId="0" fontId="7" fillId="0" borderId="0" xfId="0" applyFont="1" applyBorder="1" applyAlignment="1" applyProtection="1">
      <alignment horizontal="center" vertical="center" wrapText="1"/>
      <protection/>
    </xf>
    <xf numFmtId="0" fontId="7" fillId="0" borderId="1" xfId="0" applyFont="1" applyBorder="1" applyAlignment="1" applyProtection="1">
      <alignment wrapText="1"/>
      <protection/>
    </xf>
    <xf numFmtId="0" fontId="7" fillId="0" borderId="1" xfId="0" applyNumberFormat="1" applyFont="1" applyBorder="1" applyAlignment="1" applyProtection="1">
      <alignment horizontal="center"/>
      <protection locked="0"/>
    </xf>
    <xf numFmtId="14" fontId="7" fillId="0" borderId="1" xfId="0" applyNumberFormat="1" applyFont="1" applyBorder="1" applyAlignment="1" applyProtection="1">
      <alignment/>
      <protection locked="0"/>
    </xf>
    <xf numFmtId="164" fontId="7" fillId="5" borderId="4" xfId="0" applyNumberFormat="1" applyFont="1" applyFill="1" applyBorder="1" applyAlignment="1" applyProtection="1">
      <alignment/>
      <protection/>
    </xf>
    <xf numFmtId="164" fontId="7" fillId="0" borderId="15" xfId="0" applyNumberFormat="1" applyFont="1" applyBorder="1" applyAlignment="1" applyProtection="1">
      <alignment/>
      <protection/>
    </xf>
    <xf numFmtId="0" fontId="7" fillId="0" borderId="0" xfId="0" applyNumberFormat="1" applyFont="1" applyBorder="1" applyAlignment="1" applyProtection="1">
      <alignment/>
      <protection/>
    </xf>
    <xf numFmtId="0" fontId="7" fillId="0" borderId="3" xfId="0" applyFont="1" applyBorder="1" applyAlignment="1" applyProtection="1">
      <alignment horizontal="center" wrapText="1"/>
      <protection/>
    </xf>
    <xf numFmtId="0" fontId="7" fillId="0" borderId="13" xfId="0" applyFont="1" applyBorder="1" applyAlignment="1" applyProtection="1">
      <alignment wrapText="1"/>
      <protection/>
    </xf>
    <xf numFmtId="0" fontId="7" fillId="0" borderId="3" xfId="0" applyFont="1" applyBorder="1" applyAlignment="1" applyProtection="1">
      <alignment horizontal="center" vertical="center" wrapText="1"/>
      <protection/>
    </xf>
    <xf numFmtId="0" fontId="7" fillId="0" borderId="16" xfId="0" applyFont="1" applyBorder="1" applyAlignment="1" applyProtection="1">
      <alignment wrapText="1"/>
      <protection/>
    </xf>
    <xf numFmtId="0" fontId="7" fillId="0" borderId="17" xfId="0" applyFont="1" applyBorder="1" applyAlignment="1" applyProtection="1">
      <alignment horizontal="center" wrapText="1"/>
      <protection/>
    </xf>
    <xf numFmtId="0" fontId="7" fillId="0" borderId="13" xfId="0" applyFont="1" applyBorder="1" applyAlignment="1" applyProtection="1">
      <alignment vertical="center" wrapText="1"/>
      <protection/>
    </xf>
    <xf numFmtId="164" fontId="7" fillId="0" borderId="2" xfId="0" applyNumberFormat="1" applyFont="1" applyBorder="1" applyAlignment="1" applyProtection="1">
      <alignment/>
      <protection/>
    </xf>
    <xf numFmtId="164" fontId="7" fillId="0" borderId="6" xfId="0" applyNumberFormat="1" applyFont="1" applyBorder="1" applyAlignment="1" applyProtection="1">
      <alignment vertical="center"/>
      <protection/>
    </xf>
    <xf numFmtId="164" fontId="7" fillId="0" borderId="11" xfId="0" applyNumberFormat="1" applyFont="1" applyBorder="1" applyAlignment="1" applyProtection="1">
      <alignment vertical="center"/>
      <protection/>
    </xf>
    <xf numFmtId="164" fontId="7" fillId="0" borderId="6" xfId="0" applyNumberFormat="1" applyFont="1" applyBorder="1" applyAlignment="1" applyProtection="1">
      <alignment/>
      <protection locked="0"/>
    </xf>
    <xf numFmtId="164" fontId="7" fillId="0" borderId="6" xfId="0" applyNumberFormat="1" applyFont="1" applyBorder="1" applyAlignment="1" applyProtection="1">
      <alignment vertical="center"/>
      <protection locked="0"/>
    </xf>
    <xf numFmtId="164" fontId="7" fillId="0" borderId="10" xfId="0" applyNumberFormat="1" applyFont="1" applyBorder="1" applyAlignment="1" applyProtection="1">
      <alignment vertical="center"/>
      <protection/>
    </xf>
    <xf numFmtId="0" fontId="3"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164" fontId="7" fillId="0" borderId="0" xfId="0" applyNumberFormat="1" applyFont="1" applyBorder="1" applyAlignment="1" applyProtection="1">
      <alignment vertical="center"/>
      <protection/>
    </xf>
    <xf numFmtId="0" fontId="7" fillId="0" borderId="11" xfId="0" applyNumberFormat="1" applyFont="1" applyBorder="1" applyAlignment="1" applyProtection="1">
      <alignment vertical="center"/>
      <protection/>
    </xf>
    <xf numFmtId="0" fontId="7" fillId="0" borderId="10" xfId="0" applyNumberFormat="1" applyFont="1" applyBorder="1" applyAlignment="1" applyProtection="1">
      <alignment vertical="center"/>
      <protection/>
    </xf>
    <xf numFmtId="0" fontId="6" fillId="0" borderId="11" xfId="0" applyFont="1" applyBorder="1" applyAlignment="1" applyProtection="1">
      <alignment/>
      <protection/>
    </xf>
    <xf numFmtId="0" fontId="0" fillId="0" borderId="0" xfId="0" applyBorder="1" applyAlignment="1" applyProtection="1">
      <alignment/>
      <protection/>
    </xf>
    <xf numFmtId="0" fontId="0" fillId="2" borderId="1" xfId="0" applyFill="1" applyBorder="1" applyAlignment="1">
      <alignment/>
    </xf>
    <xf numFmtId="0" fontId="0" fillId="7" borderId="0" xfId="0" applyFill="1" applyAlignment="1">
      <alignment/>
    </xf>
    <xf numFmtId="0" fontId="0" fillId="8" borderId="0" xfId="0" applyFill="1" applyAlignment="1">
      <alignment/>
    </xf>
    <xf numFmtId="0" fontId="0" fillId="0" borderId="1" xfId="0" applyBorder="1" applyAlignment="1">
      <alignment/>
    </xf>
    <xf numFmtId="0" fontId="0" fillId="9" borderId="1" xfId="0" applyFill="1" applyBorder="1" applyAlignment="1">
      <alignment/>
    </xf>
    <xf numFmtId="0" fontId="0" fillId="0" borderId="0" xfId="0" applyAlignment="1">
      <alignment horizontal="center"/>
    </xf>
    <xf numFmtId="0" fontId="7" fillId="0" borderId="1" xfId="0" applyFont="1" applyBorder="1" applyAlignment="1">
      <alignment vertical="center"/>
    </xf>
    <xf numFmtId="0" fontId="7" fillId="10" borderId="1" xfId="0" applyFont="1" applyFill="1" applyBorder="1" applyAlignment="1">
      <alignment vertical="center"/>
    </xf>
    <xf numFmtId="0" fontId="7" fillId="0" borderId="1" xfId="0" applyFont="1" applyBorder="1" applyAlignment="1">
      <alignment/>
    </xf>
    <xf numFmtId="4" fontId="7" fillId="0" borderId="1" xfId="0" applyNumberFormat="1" applyFont="1" applyBorder="1" applyAlignment="1">
      <alignment/>
    </xf>
    <xf numFmtId="0" fontId="7" fillId="10" borderId="1" xfId="0" applyFont="1" applyFill="1" applyBorder="1" applyAlignment="1">
      <alignment/>
    </xf>
    <xf numFmtId="0" fontId="7" fillId="0" borderId="1" xfId="0" applyFont="1" applyFill="1" applyBorder="1" applyAlignment="1">
      <alignment/>
    </xf>
    <xf numFmtId="0" fontId="7" fillId="0" borderId="1" xfId="0" applyFont="1" applyBorder="1" applyAlignment="1">
      <alignment horizontal="center" vertical="center"/>
    </xf>
    <xf numFmtId="4" fontId="7" fillId="0" borderId="1" xfId="0" applyNumberFormat="1" applyFont="1" applyBorder="1" applyAlignment="1">
      <alignment horizontal="center" vertical="center"/>
    </xf>
    <xf numFmtId="0" fontId="7" fillId="10" borderId="1" xfId="0" applyFont="1" applyFill="1" applyBorder="1" applyAlignment="1">
      <alignment horizontal="center" vertical="center"/>
    </xf>
    <xf numFmtId="0" fontId="7" fillId="0" borderId="1" xfId="0" applyFont="1" applyBorder="1" applyAlignment="1">
      <alignment horizontal="center"/>
    </xf>
    <xf numFmtId="4" fontId="7" fillId="0" borderId="1" xfId="0" applyNumberFormat="1" applyFont="1" applyBorder="1" applyAlignment="1">
      <alignment horizontal="center"/>
    </xf>
    <xf numFmtId="0" fontId="7" fillId="10" borderId="1" xfId="0" applyFont="1" applyFill="1" applyBorder="1" applyAlignment="1">
      <alignment horizontal="center"/>
    </xf>
    <xf numFmtId="39" fontId="7" fillId="0" borderId="1" xfId="0" applyNumberFormat="1" applyFont="1" applyBorder="1" applyAlignment="1">
      <alignment horizontal="center"/>
    </xf>
    <xf numFmtId="0" fontId="7" fillId="0" borderId="1" xfId="0" applyFont="1" applyFill="1" applyBorder="1" applyAlignment="1">
      <alignment horizontal="center"/>
    </xf>
    <xf numFmtId="0" fontId="9" fillId="0" borderId="5" xfId="20" applyFont="1" applyBorder="1" applyAlignment="1">
      <alignment horizontal="center" vertical="center"/>
    </xf>
    <xf numFmtId="0" fontId="9" fillId="0" borderId="18" xfId="20" applyFont="1" applyBorder="1" applyAlignment="1">
      <alignment horizontal="center" vertical="center"/>
    </xf>
    <xf numFmtId="0" fontId="0" fillId="0" borderId="1" xfId="0" applyFont="1" applyBorder="1" applyAlignment="1" quotePrefix="1">
      <alignment horizontal="center"/>
    </xf>
    <xf numFmtId="0" fontId="0" fillId="11" borderId="1" xfId="0" applyFont="1" applyFill="1" applyBorder="1" applyAlignment="1" quotePrefix="1">
      <alignment horizontal="center"/>
    </xf>
    <xf numFmtId="0" fontId="0" fillId="12" borderId="1" xfId="0" applyFont="1" applyFill="1" applyBorder="1" applyAlignment="1" quotePrefix="1">
      <alignment horizontal="center"/>
    </xf>
    <xf numFmtId="0" fontId="0" fillId="13" borderId="1" xfId="0" applyFont="1" applyFill="1" applyBorder="1" applyAlignment="1" quotePrefix="1">
      <alignment horizontal="center"/>
    </xf>
    <xf numFmtId="0" fontId="0" fillId="2" borderId="1" xfId="0" applyFont="1" applyFill="1" applyBorder="1" applyAlignment="1" quotePrefix="1">
      <alignment horizontal="center"/>
    </xf>
    <xf numFmtId="0" fontId="0" fillId="14" borderId="1" xfId="0" applyFont="1" applyFill="1" applyBorder="1" applyAlignment="1" quotePrefix="1">
      <alignment horizontal="center"/>
    </xf>
    <xf numFmtId="0" fontId="0" fillId="15" borderId="1" xfId="0" applyFont="1" applyFill="1" applyBorder="1" applyAlignment="1" quotePrefix="1">
      <alignment horizontal="center"/>
    </xf>
    <xf numFmtId="0" fontId="0" fillId="16" borderId="1" xfId="0" applyFont="1" applyFill="1" applyBorder="1" applyAlignment="1" quotePrefix="1">
      <alignment horizontal="center"/>
    </xf>
    <xf numFmtId="0" fontId="0" fillId="17" borderId="1" xfId="0" applyFont="1" applyFill="1" applyBorder="1" applyAlignment="1" quotePrefix="1">
      <alignment horizontal="center"/>
    </xf>
    <xf numFmtId="0" fontId="0" fillId="18" borderId="1" xfId="0" applyFont="1" applyFill="1" applyBorder="1" applyAlignment="1" quotePrefix="1">
      <alignment horizontal="center"/>
    </xf>
    <xf numFmtId="0" fontId="0" fillId="19" borderId="1" xfId="0" applyFont="1" applyFill="1" applyBorder="1" applyAlignment="1" quotePrefix="1">
      <alignment horizontal="center"/>
    </xf>
    <xf numFmtId="0" fontId="0" fillId="0" borderId="1" xfId="0" applyFont="1" applyBorder="1" applyAlignment="1">
      <alignment horizontal="center"/>
    </xf>
    <xf numFmtId="164" fontId="7" fillId="0" borderId="1" xfId="0" applyNumberFormat="1" applyFont="1" applyBorder="1" applyAlignment="1">
      <alignment vertical="center"/>
    </xf>
    <xf numFmtId="0" fontId="7" fillId="10" borderId="19" xfId="0" applyFont="1" applyFill="1" applyBorder="1" applyAlignment="1">
      <alignment vertical="center"/>
    </xf>
    <xf numFmtId="0" fontId="7" fillId="10" borderId="14" xfId="0" applyFont="1" applyFill="1" applyBorder="1" applyAlignment="1">
      <alignment vertical="center"/>
    </xf>
    <xf numFmtId="0" fontId="7" fillId="10" borderId="20" xfId="0" applyFont="1" applyFill="1" applyBorder="1" applyAlignment="1">
      <alignment vertical="center"/>
    </xf>
    <xf numFmtId="164" fontId="7" fillId="10" borderId="1" xfId="0" applyNumberFormat="1" applyFont="1" applyFill="1" applyBorder="1" applyAlignment="1">
      <alignment vertical="center"/>
    </xf>
    <xf numFmtId="0" fontId="0" fillId="20" borderId="2" xfId="0" applyFill="1" applyBorder="1" applyAlignment="1">
      <alignment/>
    </xf>
    <xf numFmtId="0" fontId="0" fillId="0" borderId="0" xfId="0" applyFill="1" applyBorder="1" applyAlignment="1">
      <alignment/>
    </xf>
    <xf numFmtId="0" fontId="0" fillId="0" borderId="0" xfId="0" applyFont="1" applyAlignment="1">
      <alignment horizontal="left"/>
    </xf>
    <xf numFmtId="164" fontId="7" fillId="0" borderId="4" xfId="0" applyNumberFormat="1" applyFont="1" applyBorder="1" applyAlignment="1">
      <alignment vertical="center"/>
    </xf>
    <xf numFmtId="0" fontId="7" fillId="10" borderId="21" xfId="0" applyFont="1" applyFill="1" applyBorder="1" applyAlignment="1">
      <alignment vertical="center"/>
    </xf>
    <xf numFmtId="0" fontId="7" fillId="10" borderId="22" xfId="0" applyFont="1" applyFill="1" applyBorder="1" applyAlignment="1">
      <alignment vertical="center"/>
    </xf>
    <xf numFmtId="0" fontId="7" fillId="10" borderId="23" xfId="0" applyFont="1" applyFill="1" applyBorder="1" applyAlignment="1">
      <alignment vertical="center"/>
    </xf>
    <xf numFmtId="164" fontId="7" fillId="10" borderId="4" xfId="0" applyNumberFormat="1" applyFont="1" applyFill="1" applyBorder="1" applyAlignment="1">
      <alignment vertical="center"/>
    </xf>
    <xf numFmtId="0" fontId="7" fillId="9" borderId="1" xfId="0" applyFont="1" applyFill="1" applyBorder="1" applyAlignment="1">
      <alignment/>
    </xf>
    <xf numFmtId="0" fontId="7" fillId="20" borderId="1" xfId="0" applyFont="1" applyFill="1" applyBorder="1" applyAlignment="1">
      <alignment/>
    </xf>
    <xf numFmtId="0" fontId="7" fillId="20" borderId="2" xfId="0" applyFont="1" applyFill="1" applyBorder="1" applyAlignment="1">
      <alignment/>
    </xf>
    <xf numFmtId="167" fontId="7" fillId="0" borderId="1" xfId="0" applyNumberFormat="1" applyFont="1" applyBorder="1" applyAlignment="1">
      <alignment vertical="center"/>
    </xf>
    <xf numFmtId="167" fontId="7" fillId="0" borderId="19" xfId="0" applyNumberFormat="1" applyFont="1" applyBorder="1" applyAlignment="1">
      <alignment vertical="center"/>
    </xf>
    <xf numFmtId="3" fontId="0" fillId="0" borderId="0" xfId="0" applyNumberFormat="1" applyAlignment="1">
      <alignment/>
    </xf>
    <xf numFmtId="0" fontId="0" fillId="0" borderId="1" xfId="0" applyFill="1" applyBorder="1" applyAlignment="1">
      <alignment/>
    </xf>
    <xf numFmtId="0" fontId="0" fillId="20" borderId="1" xfId="0" applyFill="1" applyBorder="1" applyAlignment="1">
      <alignment/>
    </xf>
    <xf numFmtId="0" fontId="0" fillId="0" borderId="0" xfId="0" applyBorder="1" applyAlignment="1">
      <alignment/>
    </xf>
    <xf numFmtId="167" fontId="7" fillId="0" borderId="4" xfId="0" applyNumberFormat="1" applyFont="1" applyBorder="1" applyAlignment="1">
      <alignment vertical="center"/>
    </xf>
    <xf numFmtId="164" fontId="7" fillId="0" borderId="1" xfId="0" applyNumberFormat="1" applyFont="1" applyFill="1" applyBorder="1" applyAlignment="1">
      <alignment vertical="center"/>
    </xf>
    <xf numFmtId="0" fontId="0" fillId="0" borderId="0" xfId="0" applyFill="1" applyAlignment="1">
      <alignment/>
    </xf>
    <xf numFmtId="164" fontId="0" fillId="0" borderId="0" xfId="0" applyNumberFormat="1" applyAlignment="1">
      <alignment/>
    </xf>
    <xf numFmtId="167" fontId="0" fillId="0" borderId="0" xfId="0" applyNumberFormat="1" applyAlignment="1">
      <alignment/>
    </xf>
    <xf numFmtId="0" fontId="0" fillId="7" borderId="0" xfId="0" applyFill="1" applyBorder="1" applyAlignment="1">
      <alignment/>
    </xf>
    <xf numFmtId="0" fontId="0" fillId="8" borderId="0" xfId="0" applyFill="1" applyBorder="1" applyAlignment="1">
      <alignment/>
    </xf>
    <xf numFmtId="4" fontId="7" fillId="0" borderId="1" xfId="0" applyNumberFormat="1" applyFont="1" applyFill="1" applyBorder="1" applyAlignment="1">
      <alignment vertical="center"/>
    </xf>
    <xf numFmtId="39" fontId="7" fillId="0" borderId="1" xfId="0" applyNumberFormat="1" applyFont="1" applyFill="1" applyBorder="1" applyAlignment="1">
      <alignment/>
    </xf>
    <xf numFmtId="39" fontId="7" fillId="0" borderId="1" xfId="0" applyNumberFormat="1" applyFont="1" applyBorder="1" applyAlignment="1">
      <alignment/>
    </xf>
    <xf numFmtId="43" fontId="7" fillId="0" borderId="1" xfId="0" applyNumberFormat="1" applyFont="1" applyBorder="1" applyAlignment="1">
      <alignment/>
    </xf>
    <xf numFmtId="0" fontId="17" fillId="0" borderId="0" xfId="0" applyFont="1" applyFill="1" applyAlignment="1">
      <alignment vertical="center" textRotation="90" wrapText="1"/>
    </xf>
    <xf numFmtId="0" fontId="0" fillId="0" borderId="24" xfId="0" applyBorder="1" applyAlignment="1">
      <alignment/>
    </xf>
    <xf numFmtId="168" fontId="17" fillId="0" borderId="0" xfId="0" applyNumberFormat="1" applyFont="1" applyFill="1" applyAlignment="1">
      <alignment vertical="center" textRotation="90" wrapText="1"/>
    </xf>
    <xf numFmtId="0" fontId="0" fillId="0" borderId="0" xfId="0" applyNumberFormat="1" applyAlignment="1">
      <alignment/>
    </xf>
    <xf numFmtId="4" fontId="7" fillId="0" borderId="0" xfId="0" applyNumberFormat="1" applyFont="1" applyAlignment="1">
      <alignment/>
    </xf>
    <xf numFmtId="1" fontId="0" fillId="0" borderId="0" xfId="0" applyNumberFormat="1" applyAlignment="1">
      <alignment horizontal="center" vertical="center"/>
    </xf>
    <xf numFmtId="1" fontId="0" fillId="0" borderId="0" xfId="0" applyNumberFormat="1" applyAlignment="1">
      <alignment/>
    </xf>
    <xf numFmtId="0" fontId="18" fillId="0" borderId="0" xfId="0" applyFont="1" applyAlignment="1">
      <alignment/>
    </xf>
    <xf numFmtId="0" fontId="19" fillId="0" borderId="0" xfId="0" applyFont="1" applyAlignment="1">
      <alignment/>
    </xf>
    <xf numFmtId="0" fontId="0" fillId="0" borderId="0" xfId="0" applyBorder="1" applyAlignment="1">
      <alignment/>
    </xf>
    <xf numFmtId="1" fontId="0" fillId="0" borderId="0" xfId="0" applyNumberFormat="1" applyBorder="1" applyAlignment="1">
      <alignment/>
    </xf>
    <xf numFmtId="0" fontId="0" fillId="0" borderId="0" xfId="0" applyAlignment="1">
      <alignment vertical="top"/>
    </xf>
    <xf numFmtId="1" fontId="0" fillId="0" borderId="0" xfId="0" applyNumberFormat="1" applyAlignment="1">
      <alignment vertical="top"/>
    </xf>
    <xf numFmtId="0" fontId="19" fillId="0" borderId="0" xfId="0" applyFont="1" applyFill="1" applyAlignment="1">
      <alignment/>
    </xf>
    <xf numFmtId="0" fontId="9" fillId="11" borderId="5" xfId="20" applyNumberFormat="1" applyFont="1" applyFill="1" applyBorder="1" applyAlignment="1">
      <alignment horizontal="center" vertical="center" wrapText="1"/>
    </xf>
    <xf numFmtId="4" fontId="9" fillId="2" borderId="5" xfId="20" applyNumberFormat="1" applyFont="1" applyFill="1" applyBorder="1" applyAlignment="1">
      <alignment horizontal="center" vertical="center" wrapText="1"/>
    </xf>
    <xf numFmtId="0" fontId="18" fillId="0" borderId="13" xfId="0" applyFont="1" applyBorder="1" applyAlignment="1">
      <alignment horizontal="right" vertical="top" wrapText="1"/>
    </xf>
    <xf numFmtId="1" fontId="9" fillId="9" borderId="1" xfId="20" applyNumberFormat="1" applyFont="1" applyFill="1" applyBorder="1" applyAlignment="1">
      <alignment horizontal="center" vertical="center" wrapText="1"/>
    </xf>
    <xf numFmtId="1" fontId="9" fillId="0" borderId="1" xfId="20" applyNumberFormat="1" applyFont="1" applyBorder="1" applyAlignment="1">
      <alignment horizontal="center" vertical="center" wrapText="1"/>
    </xf>
    <xf numFmtId="0" fontId="0" fillId="0" borderId="0" xfId="0" applyAlignment="1">
      <alignment horizontal="center" vertical="center"/>
    </xf>
    <xf numFmtId="0" fontId="22" fillId="0" borderId="25" xfId="0" applyNumberFormat="1" applyFont="1" applyFill="1" applyBorder="1" applyAlignment="1">
      <alignment horizontal="center" vertical="center" wrapText="1"/>
    </xf>
    <xf numFmtId="4" fontId="22" fillId="0" borderId="14" xfId="0" applyNumberFormat="1" applyFont="1" applyFill="1" applyBorder="1" applyAlignment="1">
      <alignment horizontal="center" vertical="center" wrapText="1"/>
    </xf>
    <xf numFmtId="0" fontId="18" fillId="0" borderId="0" xfId="0" applyFont="1" applyFill="1" applyBorder="1" applyAlignment="1">
      <alignment horizontal="right" vertical="top" wrapText="1"/>
    </xf>
    <xf numFmtId="1" fontId="7" fillId="0" borderId="0"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Alignment="1">
      <alignment vertical="center"/>
    </xf>
    <xf numFmtId="1" fontId="23" fillId="0" borderId="0" xfId="0" applyNumberFormat="1" applyFont="1" applyAlignment="1">
      <alignment horizontal="left" vertical="center"/>
    </xf>
    <xf numFmtId="1" fontId="0" fillId="0" borderId="0" xfId="0" applyNumberFormat="1" applyAlignment="1">
      <alignment vertical="center"/>
    </xf>
    <xf numFmtId="0" fontId="5" fillId="0" borderId="0" xfId="20" applyFont="1" applyBorder="1" applyAlignment="1">
      <alignment horizontal="left" vertical="center" wrapText="1"/>
    </xf>
    <xf numFmtId="1" fontId="24" fillId="0" borderId="26" xfId="22" applyNumberFormat="1" applyFont="1" applyBorder="1" applyAlignment="1">
      <alignment horizontal="center"/>
      <protection/>
    </xf>
    <xf numFmtId="169" fontId="1" fillId="0" borderId="27" xfId="22" applyNumberFormat="1" applyFont="1" applyBorder="1" applyAlignment="1">
      <alignment horizontal="center"/>
      <protection/>
    </xf>
    <xf numFmtId="169" fontId="1" fillId="0" borderId="28" xfId="22" applyNumberFormat="1" applyFont="1" applyBorder="1" applyAlignment="1">
      <alignment horizontal="center"/>
      <protection/>
    </xf>
    <xf numFmtId="37" fontId="1" fillId="0" borderId="29" xfId="22" applyFont="1" applyBorder="1" applyAlignment="1" applyProtection="1">
      <alignment horizontal="center"/>
      <protection locked="0"/>
    </xf>
    <xf numFmtId="0" fontId="18" fillId="0" borderId="0" xfId="0" applyFont="1" applyAlignment="1">
      <alignment vertical="top" wrapText="1"/>
    </xf>
    <xf numFmtId="0" fontId="18" fillId="0" borderId="0" xfId="0" applyFont="1" applyAlignment="1">
      <alignment horizontal="right" vertical="top" wrapText="1"/>
    </xf>
    <xf numFmtId="0" fontId="3" fillId="0" borderId="0" xfId="0" applyNumberFormat="1" applyFont="1" applyFill="1" applyAlignment="1">
      <alignment horizontal="center" vertical="top" wrapText="1"/>
    </xf>
    <xf numFmtId="0" fontId="18" fillId="0" borderId="0" xfId="0" applyFont="1" applyFill="1" applyAlignment="1">
      <alignment horizontal="right" vertical="top" wrapText="1"/>
    </xf>
    <xf numFmtId="4" fontId="7" fillId="0" borderId="0" xfId="0" applyNumberFormat="1" applyFont="1" applyFill="1" applyAlignment="1">
      <alignment horizontal="right" vertical="top" wrapText="1"/>
    </xf>
    <xf numFmtId="1" fontId="24" fillId="2" borderId="26" xfId="22" applyNumberFormat="1" applyFont="1" applyFill="1" applyBorder="1" applyAlignment="1">
      <alignment horizontal="center"/>
      <protection/>
    </xf>
    <xf numFmtId="169" fontId="1" fillId="2" borderId="20" xfId="22" applyNumberFormat="1" applyFont="1" applyFill="1" applyBorder="1" applyAlignment="1">
      <alignment horizontal="center"/>
      <protection/>
    </xf>
    <xf numFmtId="169" fontId="1" fillId="2" borderId="19" xfId="22" applyNumberFormat="1" applyFont="1" applyFill="1" applyBorder="1" applyAlignment="1">
      <alignment horizontal="center"/>
      <protection/>
    </xf>
    <xf numFmtId="37" fontId="1" fillId="0" borderId="26" xfId="22" applyFont="1" applyBorder="1" applyAlignment="1" applyProtection="1">
      <alignment horizontal="center"/>
      <protection locked="0"/>
    </xf>
    <xf numFmtId="0" fontId="19" fillId="0" borderId="0" xfId="0" applyFont="1" applyAlignment="1">
      <alignment vertical="top" wrapText="1"/>
    </xf>
    <xf numFmtId="0" fontId="19" fillId="0" borderId="0" xfId="0" applyFont="1" applyAlignment="1">
      <alignment horizontal="right" vertical="top"/>
    </xf>
    <xf numFmtId="164" fontId="7" fillId="11" borderId="1" xfId="0" applyNumberFormat="1" applyFont="1" applyFill="1" applyBorder="1" applyAlignment="1">
      <alignment horizontal="right" vertical="top" wrapText="1"/>
    </xf>
    <xf numFmtId="0" fontId="18" fillId="0" borderId="3" xfId="0" applyFont="1" applyBorder="1" applyAlignment="1">
      <alignment horizontal="right" vertical="top" wrapText="1"/>
    </xf>
    <xf numFmtId="164" fontId="7" fillId="2" borderId="1" xfId="0" applyNumberFormat="1" applyFont="1" applyFill="1" applyBorder="1" applyAlignment="1">
      <alignment vertical="top" wrapText="1"/>
    </xf>
    <xf numFmtId="164" fontId="7" fillId="2" borderId="24" xfId="0" applyNumberFormat="1" applyFont="1" applyFill="1" applyBorder="1" applyAlignment="1">
      <alignment vertical="top" wrapText="1"/>
    </xf>
    <xf numFmtId="1" fontId="24" fillId="2" borderId="30" xfId="22" applyNumberFormat="1" applyFont="1" applyFill="1" applyBorder="1" applyAlignment="1">
      <alignment horizontal="center"/>
      <protection/>
    </xf>
    <xf numFmtId="169" fontId="1" fillId="2" borderId="31" xfId="22" applyNumberFormat="1" applyFont="1" applyFill="1" applyBorder="1" applyAlignment="1">
      <alignment horizontal="center"/>
      <protection/>
    </xf>
    <xf numFmtId="169" fontId="1" fillId="2" borderId="32" xfId="22" applyNumberFormat="1" applyFont="1" applyFill="1" applyBorder="1" applyAlignment="1">
      <alignment horizontal="center"/>
      <protection/>
    </xf>
    <xf numFmtId="37" fontId="1" fillId="0" borderId="30" xfId="22" applyFont="1" applyBorder="1" applyAlignment="1" applyProtection="1">
      <alignment horizontal="center"/>
      <protection locked="0"/>
    </xf>
    <xf numFmtId="164" fontId="7" fillId="2" borderId="24" xfId="0" applyNumberFormat="1" applyFont="1" applyFill="1" applyBorder="1" applyAlignment="1">
      <alignment horizontal="right" vertical="top" wrapText="1"/>
    </xf>
    <xf numFmtId="1" fontId="7" fillId="0" borderId="0" xfId="0" applyNumberFormat="1" applyFont="1" applyFill="1" applyBorder="1" applyAlignment="1">
      <alignment horizontal="center" vertical="center"/>
    </xf>
    <xf numFmtId="1" fontId="0" fillId="0" borderId="0" xfId="0" applyNumberFormat="1" applyBorder="1" applyAlignment="1">
      <alignment/>
    </xf>
    <xf numFmtId="1" fontId="7" fillId="9" borderId="5" xfId="0" applyNumberFormat="1" applyFont="1" applyFill="1" applyBorder="1" applyAlignment="1">
      <alignment horizontal="center" vertical="center"/>
    </xf>
    <xf numFmtId="0" fontId="0" fillId="0" borderId="33" xfId="0" applyBorder="1" applyAlignment="1">
      <alignment/>
    </xf>
    <xf numFmtId="0" fontId="19" fillId="0" borderId="0" xfId="0" applyFont="1" applyBorder="1" applyAlignment="1">
      <alignment vertical="top" wrapText="1"/>
    </xf>
    <xf numFmtId="164" fontId="7" fillId="9" borderId="6" xfId="0" applyNumberFormat="1" applyFont="1" applyFill="1" applyBorder="1" applyAlignment="1">
      <alignment horizontal="center" vertical="center"/>
    </xf>
    <xf numFmtId="170" fontId="7" fillId="0" borderId="1" xfId="23" applyNumberFormat="1" applyFont="1" applyBorder="1" applyAlignment="1">
      <alignment/>
    </xf>
    <xf numFmtId="0" fontId="3" fillId="0" borderId="13" xfId="0" applyFont="1" applyBorder="1" applyAlignment="1">
      <alignment vertical="top" wrapText="1"/>
    </xf>
    <xf numFmtId="0" fontId="0" fillId="0" borderId="13" xfId="0" applyBorder="1" applyAlignment="1">
      <alignment/>
    </xf>
    <xf numFmtId="0" fontId="3" fillId="0" borderId="0" xfId="0" applyFont="1" applyAlignment="1">
      <alignment/>
    </xf>
    <xf numFmtId="0" fontId="3" fillId="0" borderId="19" xfId="0" applyFont="1" applyBorder="1" applyAlignment="1">
      <alignment horizontal="left" vertical="center" wrapText="1"/>
    </xf>
    <xf numFmtId="0" fontId="0" fillId="0" borderId="0" xfId="0" applyNumberFormat="1" applyAlignment="1">
      <alignment vertical="center"/>
    </xf>
    <xf numFmtId="4" fontId="0" fillId="0" borderId="0" xfId="0" applyNumberFormat="1" applyAlignment="1">
      <alignment vertical="center"/>
    </xf>
    <xf numFmtId="0" fontId="22" fillId="0" borderId="0" xfId="0" applyFont="1" applyAlignment="1">
      <alignment vertical="center" wrapText="1"/>
    </xf>
    <xf numFmtId="1" fontId="7" fillId="9" borderId="34" xfId="0" applyNumberFormat="1" applyFont="1" applyFill="1" applyBorder="1" applyAlignment="1">
      <alignment horizontal="center" vertical="center"/>
    </xf>
    <xf numFmtId="0" fontId="22" fillId="0" borderId="0" xfId="0" applyNumberFormat="1" applyFont="1" applyAlignment="1">
      <alignment vertical="center" wrapText="1"/>
    </xf>
    <xf numFmtId="164" fontId="7" fillId="2" borderId="1" xfId="0" applyNumberFormat="1" applyFont="1" applyFill="1" applyBorder="1" applyAlignment="1">
      <alignment horizontal="right" vertical="top" wrapText="1"/>
    </xf>
    <xf numFmtId="0" fontId="22" fillId="0" borderId="0" xfId="0" applyNumberFormat="1" applyFont="1" applyFill="1" applyBorder="1" applyAlignment="1">
      <alignment vertical="center" wrapText="1"/>
    </xf>
    <xf numFmtId="0" fontId="22" fillId="0" borderId="0" xfId="0" applyFont="1" applyFill="1" applyBorder="1" applyAlignment="1">
      <alignment vertical="center" wrapText="1"/>
    </xf>
    <xf numFmtId="4" fontId="7" fillId="0" borderId="0" xfId="0" applyNumberFormat="1" applyFont="1" applyFill="1" applyBorder="1" applyAlignment="1">
      <alignment horizontal="right" vertical="top" wrapText="1"/>
    </xf>
    <xf numFmtId="0" fontId="22" fillId="0" borderId="0" xfId="0" applyFont="1" applyAlignment="1">
      <alignment horizontal="center" vertical="center" wrapText="1"/>
    </xf>
    <xf numFmtId="0" fontId="25" fillId="0" borderId="0" xfId="0" applyFont="1" applyBorder="1" applyAlignment="1">
      <alignment horizontal="center" vertical="center" wrapText="1"/>
    </xf>
    <xf numFmtId="0" fontId="22" fillId="0" borderId="0" xfId="0" applyNumberFormat="1" applyFont="1" applyAlignment="1">
      <alignment horizontal="right" vertical="center" wrapText="1"/>
    </xf>
    <xf numFmtId="1" fontId="0" fillId="0" borderId="0" xfId="0" applyNumberFormat="1" applyBorder="1" applyAlignment="1">
      <alignment vertical="center"/>
    </xf>
    <xf numFmtId="171" fontId="7" fillId="2" borderId="1" xfId="0" applyNumberFormat="1" applyFont="1" applyFill="1" applyBorder="1" applyAlignment="1">
      <alignment horizontal="right" vertical="top" wrapText="1"/>
    </xf>
    <xf numFmtId="0" fontId="0" fillId="0" borderId="0" xfId="0" applyBorder="1" applyAlignment="1">
      <alignment horizontal="left" wrapText="1"/>
    </xf>
    <xf numFmtId="0" fontId="0" fillId="0" borderId="33" xfId="0" applyBorder="1" applyAlignment="1">
      <alignment horizontal="left" wrapText="1"/>
    </xf>
    <xf numFmtId="0" fontId="9" fillId="11" borderId="1" xfId="20" applyNumberFormat="1" applyFont="1" applyFill="1" applyBorder="1" applyAlignment="1">
      <alignment horizontal="center" vertical="center" wrapText="1"/>
    </xf>
    <xf numFmtId="0" fontId="7" fillId="0" borderId="13" xfId="0" applyFont="1" applyBorder="1" applyAlignment="1">
      <alignment horizontal="right" vertical="center" wrapText="1"/>
    </xf>
    <xf numFmtId="4" fontId="0" fillId="0" borderId="0" xfId="0" applyNumberFormat="1" applyAlignment="1">
      <alignment/>
    </xf>
    <xf numFmtId="0" fontId="7" fillId="0" borderId="0" xfId="0" applyFont="1" applyBorder="1" applyAlignment="1">
      <alignment horizontal="right" vertical="top" wrapText="1"/>
    </xf>
    <xf numFmtId="0" fontId="7"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9" fillId="0" borderId="1" xfId="20" applyFont="1" applyBorder="1" applyAlignment="1">
      <alignment horizontal="center" vertical="center" wrapText="1"/>
    </xf>
    <xf numFmtId="4" fontId="22" fillId="0" borderId="0" xfId="0" applyNumberFormat="1" applyFont="1" applyAlignment="1">
      <alignment vertical="center" wrapText="1"/>
    </xf>
    <xf numFmtId="0" fontId="19" fillId="0" borderId="0" xfId="0" applyFont="1" applyAlignment="1">
      <alignment horizontal="center" vertical="top" wrapText="1"/>
    </xf>
    <xf numFmtId="0" fontId="19" fillId="0" borderId="0" xfId="0" applyFont="1" applyBorder="1" applyAlignment="1">
      <alignment horizontal="center" vertical="top" wrapText="1"/>
    </xf>
    <xf numFmtId="172" fontId="7" fillId="11" borderId="1" xfId="0" applyNumberFormat="1" applyFont="1" applyFill="1" applyBorder="1" applyAlignment="1">
      <alignment horizontal="center" vertical="center"/>
    </xf>
    <xf numFmtId="173" fontId="7" fillId="2" borderId="20" xfId="0" applyNumberFormat="1" applyFont="1" applyFill="1" applyBorder="1" applyAlignment="1">
      <alignment horizontal="right" vertical="top" wrapText="1"/>
    </xf>
    <xf numFmtId="174" fontId="7" fillId="0" borderId="1" xfId="0" applyNumberFormat="1" applyFont="1" applyBorder="1" applyAlignment="1">
      <alignment horizontal="right" vertical="top" wrapText="1"/>
    </xf>
    <xf numFmtId="172" fontId="7" fillId="11" borderId="1" xfId="0" applyNumberFormat="1" applyFont="1" applyFill="1" applyBorder="1" applyAlignment="1">
      <alignment horizontal="center" vertical="center" wrapText="1"/>
    </xf>
    <xf numFmtId="173" fontId="7" fillId="11" borderId="1" xfId="0" applyNumberFormat="1" applyFont="1" applyFill="1" applyBorder="1" applyAlignment="1">
      <alignment horizontal="center" vertical="center" wrapText="1"/>
    </xf>
    <xf numFmtId="0" fontId="19" fillId="0" borderId="35" xfId="0" applyFont="1" applyBorder="1" applyAlignment="1">
      <alignment horizontal="center" vertical="top" wrapText="1"/>
    </xf>
    <xf numFmtId="1" fontId="7" fillId="9" borderId="2" xfId="0" applyNumberFormat="1" applyFont="1" applyFill="1" applyBorder="1" applyAlignment="1">
      <alignment horizontal="center" vertical="center"/>
    </xf>
    <xf numFmtId="0" fontId="18" fillId="0" borderId="0" xfId="0" applyNumberFormat="1" applyFont="1" applyFill="1" applyBorder="1" applyAlignment="1">
      <alignment horizontal="right" vertical="top" wrapText="1"/>
    </xf>
    <xf numFmtId="0" fontId="18" fillId="0" borderId="0" xfId="0" applyFont="1" applyBorder="1" applyAlignment="1">
      <alignment horizontal="right" vertical="top" wrapText="1"/>
    </xf>
    <xf numFmtId="1" fontId="0" fillId="0" borderId="0" xfId="0" applyNumberFormat="1" applyFill="1" applyBorder="1" applyAlignment="1">
      <alignment horizontal="center" vertical="center"/>
    </xf>
    <xf numFmtId="0" fontId="19" fillId="0" borderId="0" xfId="0" applyFont="1" applyBorder="1" applyAlignment="1">
      <alignment horizontal="left" vertical="center" wrapText="1"/>
    </xf>
    <xf numFmtId="174" fontId="7" fillId="2" borderId="1" xfId="0" applyNumberFormat="1" applyFont="1" applyFill="1" applyBorder="1" applyAlignment="1">
      <alignment horizontal="right" vertical="top" wrapText="1"/>
    </xf>
    <xf numFmtId="174" fontId="7" fillId="9" borderId="6" xfId="0" applyNumberFormat="1" applyFont="1" applyFill="1" applyBorder="1" applyAlignment="1">
      <alignment horizontal="center" vertical="center"/>
    </xf>
    <xf numFmtId="174" fontId="7" fillId="0" borderId="1" xfId="0" applyNumberFormat="1" applyFont="1" applyBorder="1" applyAlignment="1">
      <alignment/>
    </xf>
    <xf numFmtId="174" fontId="0" fillId="0" borderId="0" xfId="0" applyNumberFormat="1" applyAlignment="1">
      <alignment/>
    </xf>
    <xf numFmtId="0" fontId="18" fillId="0" borderId="0" xfId="0" applyNumberFormat="1" applyFont="1" applyAlignment="1">
      <alignment vertical="top" wrapText="1"/>
    </xf>
    <xf numFmtId="4" fontId="7" fillId="0" borderId="0" xfId="0" applyNumberFormat="1" applyFont="1" applyAlignment="1">
      <alignment vertical="top" wrapText="1"/>
    </xf>
    <xf numFmtId="0" fontId="0" fillId="0" borderId="0" xfId="0" applyBorder="1" applyAlignment="1">
      <alignment vertical="center"/>
    </xf>
    <xf numFmtId="164" fontId="7" fillId="11" borderId="1" xfId="0" applyNumberFormat="1" applyFont="1" applyFill="1" applyBorder="1" applyAlignment="1">
      <alignment horizontal="center" vertical="center" wrapText="1"/>
    </xf>
    <xf numFmtId="4" fontId="7" fillId="4" borderId="0" xfId="0" applyNumberFormat="1" applyFont="1" applyFill="1" applyBorder="1" applyAlignment="1">
      <alignment horizontal="right" vertical="top" wrapText="1"/>
    </xf>
    <xf numFmtId="164" fontId="7" fillId="9" borderId="1" xfId="0" applyNumberFormat="1" applyFont="1" applyFill="1" applyBorder="1" applyAlignment="1">
      <alignment horizontal="center" vertical="center"/>
    </xf>
    <xf numFmtId="0" fontId="0" fillId="0" borderId="0" xfId="0" applyBorder="1" applyAlignment="1">
      <alignment horizontal="right" vertical="center"/>
    </xf>
    <xf numFmtId="0" fontId="0" fillId="0" borderId="0" xfId="0" applyNumberFormat="1" applyBorder="1" applyAlignment="1">
      <alignment vertical="center"/>
    </xf>
    <xf numFmtId="164" fontId="7" fillId="0" borderId="1" xfId="0" applyNumberFormat="1" applyFont="1" applyBorder="1" applyAlignment="1">
      <alignment/>
    </xf>
    <xf numFmtId="0" fontId="0" fillId="0" borderId="0" xfId="0" applyFont="1" applyBorder="1" applyAlignment="1">
      <alignment horizontal="left" vertical="center" wrapText="1"/>
    </xf>
    <xf numFmtId="0" fontId="0" fillId="0" borderId="0" xfId="0" applyNumberFormat="1" applyFont="1" applyBorder="1" applyAlignment="1">
      <alignment horizontal="left" vertical="center" wrapText="1"/>
    </xf>
    <xf numFmtId="4" fontId="0" fillId="0" borderId="33" xfId="0" applyNumberFormat="1" applyFont="1" applyBorder="1" applyAlignment="1">
      <alignment horizontal="left" vertical="center" wrapText="1"/>
    </xf>
    <xf numFmtId="164" fontId="7" fillId="2" borderId="18" xfId="0" applyNumberFormat="1" applyFont="1" applyFill="1" applyBorder="1" applyAlignment="1">
      <alignment horizontal="right" vertical="top" wrapText="1"/>
    </xf>
    <xf numFmtId="0" fontId="18" fillId="0" borderId="0" xfId="0" applyFont="1" applyBorder="1" applyAlignment="1">
      <alignment vertical="top" wrapText="1"/>
    </xf>
    <xf numFmtId="0" fontId="18" fillId="0" borderId="0" xfId="0" applyNumberFormat="1" applyFont="1" applyBorder="1" applyAlignment="1">
      <alignment vertical="top" wrapText="1"/>
    </xf>
    <xf numFmtId="4" fontId="18" fillId="0" borderId="0" xfId="0" applyNumberFormat="1" applyFont="1" applyBorder="1" applyAlignment="1">
      <alignment vertical="top" wrapText="1"/>
    </xf>
    <xf numFmtId="0" fontId="22" fillId="0" borderId="0" xfId="0" applyFont="1" applyBorder="1" applyAlignment="1">
      <alignment vertical="top" wrapText="1"/>
    </xf>
    <xf numFmtId="0" fontId="18" fillId="0" borderId="33" xfId="0" applyNumberFormat="1" applyFont="1" applyFill="1" applyBorder="1" applyAlignment="1">
      <alignment horizontal="right" vertical="top" wrapText="1"/>
    </xf>
    <xf numFmtId="4" fontId="7" fillId="0" borderId="33" xfId="0" applyNumberFormat="1" applyFont="1" applyFill="1" applyBorder="1" applyAlignment="1">
      <alignment horizontal="right" vertical="top" wrapText="1"/>
    </xf>
    <xf numFmtId="164" fontId="7" fillId="11" borderId="1" xfId="0" applyNumberFormat="1" applyFont="1" applyFill="1" applyBorder="1" applyAlignment="1">
      <alignment horizontal="left" vertical="top" wrapText="1"/>
    </xf>
    <xf numFmtId="171" fontId="7" fillId="2" borderId="24" xfId="0" applyNumberFormat="1" applyFont="1" applyFill="1" applyBorder="1" applyAlignment="1">
      <alignment horizontal="right" vertical="top" wrapText="1"/>
    </xf>
    <xf numFmtId="0" fontId="22" fillId="0" borderId="0" xfId="0" applyFont="1" applyAlignment="1">
      <alignment vertical="top" wrapText="1"/>
    </xf>
    <xf numFmtId="0" fontId="18" fillId="0" borderId="33" xfId="0" applyNumberFormat="1" applyFont="1" applyFill="1" applyBorder="1" applyAlignment="1">
      <alignment horizontal="left" vertical="top" wrapText="1"/>
    </xf>
    <xf numFmtId="171" fontId="7" fillId="0" borderId="33" xfId="0" applyNumberFormat="1" applyFont="1" applyFill="1" applyBorder="1" applyAlignment="1">
      <alignment horizontal="right" vertical="top" wrapText="1"/>
    </xf>
    <xf numFmtId="164" fontId="7" fillId="0" borderId="0" xfId="0" applyNumberFormat="1" applyFont="1" applyFill="1" applyBorder="1" applyAlignment="1">
      <alignment horizontal="right" vertical="top" wrapText="1"/>
    </xf>
    <xf numFmtId="164" fontId="7" fillId="0" borderId="0" xfId="0" applyNumberFormat="1" applyFont="1" applyFill="1" applyBorder="1" applyAlignment="1">
      <alignment horizontal="center" vertical="center"/>
    </xf>
    <xf numFmtId="164" fontId="7" fillId="0" borderId="0" xfId="0" applyNumberFormat="1" applyFont="1" applyBorder="1" applyAlignment="1">
      <alignment/>
    </xf>
    <xf numFmtId="0" fontId="7" fillId="11" borderId="1" xfId="21" applyNumberFormat="1" applyFont="1" applyFill="1" applyBorder="1" applyAlignment="1">
      <alignment horizontal="right" vertical="top" wrapText="1"/>
      <protection/>
    </xf>
    <xf numFmtId="0" fontId="7" fillId="0" borderId="0" xfId="21" applyFont="1" applyAlignment="1">
      <alignment vertical="top" wrapText="1"/>
      <protection/>
    </xf>
    <xf numFmtId="0" fontId="22" fillId="0" borderId="0" xfId="21" applyFont="1" applyAlignment="1">
      <alignment vertical="top" wrapText="1"/>
      <protection/>
    </xf>
    <xf numFmtId="0" fontId="7" fillId="0" borderId="0" xfId="21" applyFont="1" applyAlignment="1">
      <alignment horizontal="right" vertical="top" wrapText="1"/>
      <protection/>
    </xf>
    <xf numFmtId="0" fontId="18" fillId="0" borderId="0" xfId="0" applyFont="1" applyBorder="1" applyAlignment="1">
      <alignment horizontal="right" vertical="center" wrapText="1"/>
    </xf>
    <xf numFmtId="0" fontId="18" fillId="0" borderId="33" xfId="0" applyNumberFormat="1" applyFont="1" applyFill="1" applyBorder="1" applyAlignment="1">
      <alignment vertical="top" wrapText="1"/>
    </xf>
    <xf numFmtId="164" fontId="7" fillId="11" borderId="1" xfId="0" applyNumberFormat="1" applyFont="1" applyFill="1" applyBorder="1" applyAlignment="1">
      <alignment vertical="top" wrapText="1"/>
    </xf>
    <xf numFmtId="164" fontId="7" fillId="0" borderId="0" xfId="0" applyNumberFormat="1" applyFont="1" applyFill="1" applyBorder="1" applyAlignment="1">
      <alignment vertical="top" wrapText="1"/>
    </xf>
    <xf numFmtId="164" fontId="7" fillId="0" borderId="14" xfId="0" applyNumberFormat="1" applyFont="1" applyFill="1" applyBorder="1" applyAlignment="1">
      <alignment vertical="top" wrapText="1"/>
    </xf>
    <xf numFmtId="164" fontId="7" fillId="0" borderId="33" xfId="0" applyNumberFormat="1" applyFont="1" applyFill="1" applyBorder="1" applyAlignment="1">
      <alignment horizontal="right" vertical="top" wrapText="1"/>
    </xf>
    <xf numFmtId="1" fontId="0" fillId="0" borderId="0" xfId="0" applyNumberFormat="1" applyAlignment="1">
      <alignment horizontal="right" vertical="center"/>
    </xf>
    <xf numFmtId="1" fontId="0" fillId="0" borderId="0" xfId="0" applyNumberFormat="1" applyFill="1" applyBorder="1" applyAlignment="1">
      <alignment/>
    </xf>
    <xf numFmtId="0" fontId="19" fillId="0" borderId="25" xfId="0" applyFont="1" applyBorder="1" applyAlignment="1">
      <alignment horizontal="left" vertical="center" wrapText="1"/>
    </xf>
    <xf numFmtId="0" fontId="0" fillId="0" borderId="0" xfId="0" applyNumberFormat="1" applyBorder="1" applyAlignment="1">
      <alignment/>
    </xf>
    <xf numFmtId="4" fontId="0" fillId="0" borderId="0" xfId="0" applyNumberFormat="1" applyBorder="1" applyAlignment="1">
      <alignment/>
    </xf>
    <xf numFmtId="0" fontId="3" fillId="0" borderId="0" xfId="0" applyFont="1" applyAlignment="1">
      <alignment horizontal="left" vertical="top" wrapText="1"/>
    </xf>
    <xf numFmtId="0" fontId="18" fillId="0" borderId="14" xfId="0" applyNumberFormat="1" applyFont="1" applyFill="1" applyBorder="1" applyAlignment="1">
      <alignment horizontal="right" vertical="top" wrapText="1"/>
    </xf>
    <xf numFmtId="4" fontId="7" fillId="0" borderId="14" xfId="0" applyNumberFormat="1" applyFont="1" applyFill="1" applyBorder="1" applyAlignment="1">
      <alignment horizontal="right" vertical="top" wrapText="1"/>
    </xf>
    <xf numFmtId="0" fontId="0" fillId="0" borderId="16" xfId="0" applyBorder="1" applyAlignment="1">
      <alignment/>
    </xf>
    <xf numFmtId="0" fontId="0" fillId="0" borderId="25" xfId="0" applyBorder="1" applyAlignment="1">
      <alignment/>
    </xf>
    <xf numFmtId="0" fontId="0" fillId="0" borderId="25" xfId="0" applyNumberFormat="1" applyBorder="1" applyAlignment="1">
      <alignment/>
    </xf>
    <xf numFmtId="4" fontId="0" fillId="0" borderId="25" xfId="0" applyNumberFormat="1" applyBorder="1" applyAlignment="1">
      <alignment/>
    </xf>
    <xf numFmtId="0" fontId="0" fillId="0" borderId="36" xfId="0" applyBorder="1" applyAlignment="1">
      <alignment/>
    </xf>
    <xf numFmtId="0" fontId="0" fillId="0" borderId="33" xfId="0" applyBorder="1" applyAlignment="1">
      <alignment/>
    </xf>
    <xf numFmtId="0" fontId="0" fillId="0" borderId="33" xfId="0" applyNumberFormat="1" applyBorder="1" applyAlignment="1">
      <alignment/>
    </xf>
    <xf numFmtId="4" fontId="0" fillId="0" borderId="33" xfId="0" applyNumberFormat="1" applyBorder="1" applyAlignment="1">
      <alignment/>
    </xf>
    <xf numFmtId="0" fontId="18" fillId="0" borderId="0" xfId="0" applyFont="1" applyBorder="1" applyAlignment="1">
      <alignment vertical="center" wrapText="1"/>
    </xf>
    <xf numFmtId="0" fontId="21" fillId="0" borderId="0" xfId="0" applyFont="1" applyBorder="1" applyAlignment="1">
      <alignment horizontal="left" vertical="center" wrapText="1"/>
    </xf>
    <xf numFmtId="164" fontId="7" fillId="11" borderId="24" xfId="0" applyNumberFormat="1" applyFont="1" applyFill="1" applyBorder="1" applyAlignment="1">
      <alignment vertical="top" wrapText="1"/>
    </xf>
    <xf numFmtId="0" fontId="22" fillId="0" borderId="0" xfId="0" applyFont="1" applyAlignment="1">
      <alignment horizontal="left" vertical="top" wrapText="1"/>
    </xf>
    <xf numFmtId="0" fontId="18" fillId="0" borderId="0" xfId="0" applyFont="1" applyBorder="1" applyAlignment="1">
      <alignment horizontal="left" vertical="top" wrapText="1"/>
    </xf>
    <xf numFmtId="0" fontId="27" fillId="0" borderId="0" xfId="0" applyFont="1" applyBorder="1" applyAlignment="1">
      <alignment horizontal="left"/>
    </xf>
    <xf numFmtId="0" fontId="27" fillId="0" borderId="0" xfId="0" applyNumberFormat="1" applyFont="1" applyBorder="1" applyAlignment="1">
      <alignment horizontal="left"/>
    </xf>
    <xf numFmtId="4" fontId="27" fillId="0" borderId="0" xfId="0" applyNumberFormat="1" applyFont="1" applyBorder="1" applyAlignment="1">
      <alignment horizontal="left"/>
    </xf>
    <xf numFmtId="0" fontId="18" fillId="0" borderId="0" xfId="0" applyFont="1" applyFill="1" applyBorder="1" applyAlignment="1">
      <alignment vertical="top" wrapText="1"/>
    </xf>
    <xf numFmtId="0" fontId="18" fillId="0" borderId="0" xfId="0" applyNumberFormat="1" applyFont="1" applyFill="1" applyBorder="1" applyAlignment="1">
      <alignment vertical="top" wrapText="1"/>
    </xf>
    <xf numFmtId="4" fontId="18" fillId="0" borderId="0" xfId="0" applyNumberFormat="1" applyFont="1" applyFill="1" applyBorder="1" applyAlignment="1">
      <alignment vertical="top" wrapText="1"/>
    </xf>
    <xf numFmtId="1" fontId="0" fillId="0" borderId="0" xfId="0" applyNumberFormat="1" applyFill="1" applyAlignment="1">
      <alignment/>
    </xf>
    <xf numFmtId="0" fontId="0" fillId="0" borderId="25" xfId="0" applyBorder="1" applyAlignment="1">
      <alignment/>
    </xf>
    <xf numFmtId="164" fontId="7" fillId="9" borderId="6" xfId="0" applyNumberFormat="1" applyFont="1" applyFill="1" applyBorder="1" applyAlignment="1">
      <alignment horizontal="center" vertical="center"/>
    </xf>
    <xf numFmtId="0" fontId="0" fillId="0" borderId="14" xfId="0" applyBorder="1" applyAlignment="1">
      <alignment/>
    </xf>
    <xf numFmtId="0" fontId="29" fillId="0" borderId="0" xfId="0" applyFont="1" applyBorder="1" applyAlignment="1">
      <alignment vertical="center" wrapText="1"/>
    </xf>
    <xf numFmtId="0" fontId="2" fillId="0" borderId="0" xfId="0" applyFont="1" applyBorder="1" applyAlignment="1">
      <alignment vertical="center"/>
    </xf>
    <xf numFmtId="0" fontId="2" fillId="0" borderId="0" xfId="0" applyNumberFormat="1" applyFont="1" applyBorder="1" applyAlignment="1">
      <alignment vertical="center"/>
    </xf>
    <xf numFmtId="4" fontId="2" fillId="0" borderId="0" xfId="0" applyNumberFormat="1" applyFont="1" applyBorder="1" applyAlignment="1">
      <alignment vertical="center"/>
    </xf>
    <xf numFmtId="0" fontId="31" fillId="0" borderId="0" xfId="0" applyFont="1" applyBorder="1" applyAlignment="1">
      <alignment vertical="center" wrapText="1"/>
    </xf>
    <xf numFmtId="0" fontId="18" fillId="0" borderId="0" xfId="0" applyNumberFormat="1" applyFont="1" applyAlignment="1">
      <alignment horizontal="right" vertical="top" wrapText="1"/>
    </xf>
    <xf numFmtId="0" fontId="19" fillId="0" borderId="33" xfId="0" applyNumberFormat="1" applyFont="1" applyBorder="1" applyAlignment="1">
      <alignment horizontal="left" vertical="center" wrapText="1"/>
    </xf>
    <xf numFmtId="4" fontId="19" fillId="0" borderId="33" xfId="0" applyNumberFormat="1" applyFont="1" applyBorder="1" applyAlignment="1">
      <alignment horizontal="left" vertical="center" wrapText="1"/>
    </xf>
    <xf numFmtId="0" fontId="19" fillId="0" borderId="0" xfId="0" applyFont="1" applyAlignment="1">
      <alignment horizontal="right" vertical="top" wrapText="1"/>
    </xf>
    <xf numFmtId="4" fontId="19" fillId="0" borderId="3" xfId="0" applyNumberFormat="1" applyFont="1" applyBorder="1" applyAlignment="1">
      <alignment horizontal="right" vertical="top" wrapText="1"/>
    </xf>
    <xf numFmtId="164" fontId="7" fillId="11" borderId="24" xfId="0" applyNumberFormat="1" applyFont="1" applyFill="1" applyBorder="1" applyAlignment="1">
      <alignment horizontal="right" vertical="top" wrapText="1"/>
    </xf>
    <xf numFmtId="171" fontId="7" fillId="2" borderId="24" xfId="0" applyNumberFormat="1" applyFont="1" applyFill="1" applyBorder="1" applyAlignment="1">
      <alignment horizontal="right" vertical="top" wrapText="1"/>
    </xf>
    <xf numFmtId="0" fontId="18" fillId="0" borderId="0" xfId="0" applyFont="1" applyAlignment="1">
      <alignment horizontal="center" vertical="top" wrapText="1"/>
    </xf>
    <xf numFmtId="0" fontId="3" fillId="0" borderId="0" xfId="0" applyFont="1" applyBorder="1" applyAlignment="1">
      <alignment horizontal="left" vertical="center" wrapText="1"/>
    </xf>
    <xf numFmtId="0" fontId="3" fillId="0" borderId="0" xfId="0" applyNumberFormat="1" applyFont="1" applyBorder="1" applyAlignment="1">
      <alignment horizontal="left" vertical="center" wrapText="1"/>
    </xf>
    <xf numFmtId="4" fontId="3" fillId="0" borderId="33" xfId="0" applyNumberFormat="1" applyFont="1" applyBorder="1" applyAlignment="1">
      <alignment horizontal="left" vertical="center" wrapText="1"/>
    </xf>
    <xf numFmtId="164" fontId="7" fillId="11" borderId="1" xfId="0" applyNumberFormat="1" applyFont="1" applyFill="1" applyBorder="1" applyAlignment="1">
      <alignment horizontal="right" vertical="top" wrapText="1"/>
    </xf>
    <xf numFmtId="164" fontId="7" fillId="2" borderId="24" xfId="0" applyNumberFormat="1" applyFont="1" applyFill="1" applyBorder="1" applyAlignment="1">
      <alignment horizontal="right" vertical="top" wrapText="1"/>
    </xf>
    <xf numFmtId="164" fontId="7" fillId="11" borderId="1" xfId="0" applyNumberFormat="1" applyFont="1" applyFill="1" applyBorder="1" applyAlignment="1">
      <alignment horizontal="left" vertical="top" wrapText="1"/>
    </xf>
    <xf numFmtId="0" fontId="18" fillId="0" borderId="0" xfId="0" applyNumberFormat="1" applyFont="1" applyFill="1" applyAlignment="1">
      <alignment horizontal="right" vertical="top" wrapText="1"/>
    </xf>
    <xf numFmtId="0" fontId="0" fillId="0" borderId="0" xfId="0" applyBorder="1" applyAlignment="1">
      <alignment horizontal="left" vertical="center" wrapText="1"/>
    </xf>
    <xf numFmtId="0" fontId="0" fillId="0" borderId="33" xfId="0" applyNumberFormat="1" applyBorder="1" applyAlignment="1">
      <alignment horizontal="left" vertical="center" wrapText="1"/>
    </xf>
    <xf numFmtId="4" fontId="0" fillId="0" borderId="33" xfId="0" applyNumberFormat="1" applyBorder="1" applyAlignment="1">
      <alignment horizontal="left" vertical="center" wrapText="1"/>
    </xf>
    <xf numFmtId="164" fontId="7" fillId="11" borderId="18" xfId="0" applyNumberFormat="1" applyFont="1" applyFill="1" applyBorder="1" applyAlignment="1">
      <alignment vertical="top" wrapText="1"/>
    </xf>
    <xf numFmtId="0" fontId="22" fillId="0" borderId="0" xfId="0" applyNumberFormat="1" applyFont="1" applyFill="1" applyBorder="1" applyAlignment="1">
      <alignment horizontal="center" vertical="center" wrapText="1"/>
    </xf>
    <xf numFmtId="0" fontId="18" fillId="0" borderId="0" xfId="0" applyFont="1" applyFill="1" applyBorder="1" applyAlignment="1">
      <alignment vertical="center" wrapText="1"/>
    </xf>
    <xf numFmtId="4" fontId="0" fillId="0" borderId="0" xfId="0" applyNumberFormat="1" applyFill="1" applyBorder="1" applyAlignment="1">
      <alignment/>
    </xf>
    <xf numFmtId="164" fontId="7" fillId="11" borderId="1" xfId="0" applyNumberFormat="1" applyFont="1" applyFill="1" applyBorder="1" applyAlignment="1">
      <alignment horizontal="center" vertical="top" wrapText="1"/>
    </xf>
    <xf numFmtId="171" fontId="7" fillId="2" borderId="1" xfId="0" applyNumberFormat="1" applyFont="1" applyFill="1" applyBorder="1" applyAlignment="1">
      <alignment horizontal="right" vertical="top" wrapText="1"/>
    </xf>
    <xf numFmtId="164" fontId="7" fillId="11" borderId="18" xfId="0" applyNumberFormat="1" applyFont="1" applyFill="1" applyBorder="1" applyAlignment="1">
      <alignment horizontal="center" vertical="top" wrapText="1"/>
    </xf>
    <xf numFmtId="0" fontId="18" fillId="0" borderId="0" xfId="0" applyFont="1" applyFill="1" applyAlignment="1">
      <alignment vertical="top"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0" fillId="0" borderId="25" xfId="0" applyNumberFormat="1" applyBorder="1" applyAlignment="1">
      <alignment horizontal="left" vertical="center" wrapText="1"/>
    </xf>
    <xf numFmtId="4" fontId="0" fillId="0" borderId="25" xfId="0" applyNumberFormat="1" applyBorder="1" applyAlignment="1">
      <alignment horizontal="left" vertical="center" wrapText="1"/>
    </xf>
    <xf numFmtId="0" fontId="2" fillId="0" borderId="37" xfId="0" applyFont="1" applyBorder="1" applyAlignment="1" applyProtection="1">
      <alignment horizontal="left"/>
      <protection/>
    </xf>
    <xf numFmtId="0" fontId="2" fillId="0" borderId="38" xfId="0" applyFont="1" applyBorder="1" applyAlignment="1" applyProtection="1">
      <alignment horizontal="left"/>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protection/>
    </xf>
    <xf numFmtId="164" fontId="0" fillId="0" borderId="1" xfId="0" applyNumberFormat="1" applyFont="1" applyFill="1" applyBorder="1" applyAlignment="1" applyProtection="1">
      <alignment vertical="center"/>
      <protection/>
    </xf>
    <xf numFmtId="164" fontId="0" fillId="0" borderId="1" xfId="0" applyNumberFormat="1" applyFont="1" applyBorder="1" applyAlignment="1" applyProtection="1">
      <alignment vertical="center"/>
      <protection locked="0"/>
    </xf>
    <xf numFmtId="0" fontId="0" fillId="0" borderId="0" xfId="0" applyNumberFormat="1" applyFont="1" applyFill="1" applyBorder="1" applyAlignment="1" applyProtection="1">
      <alignment vertical="center"/>
      <protection/>
    </xf>
    <xf numFmtId="164" fontId="0" fillId="0" borderId="1" xfId="0" applyNumberFormat="1" applyFont="1" applyBorder="1" applyAlignment="1" applyProtection="1">
      <alignment vertical="center"/>
      <protection/>
    </xf>
    <xf numFmtId="0" fontId="0" fillId="0" borderId="0" xfId="0" applyFont="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ont="1" applyAlignment="1" applyProtection="1">
      <alignment/>
      <protection/>
    </xf>
    <xf numFmtId="0" fontId="0" fillId="0" borderId="0" xfId="0" applyFont="1" applyFill="1" applyBorder="1" applyAlignment="1" applyProtection="1">
      <alignment/>
      <protection/>
    </xf>
    <xf numFmtId="3" fontId="0" fillId="0" borderId="0" xfId="0" applyNumberFormat="1" applyFont="1" applyBorder="1" applyAlignment="1" applyProtection="1">
      <alignment/>
      <protection/>
    </xf>
    <xf numFmtId="0" fontId="0" fillId="0" borderId="0" xfId="0" applyNumberFormat="1" applyFont="1" applyFill="1" applyBorder="1" applyAlignment="1" applyProtection="1">
      <alignment/>
      <protection/>
    </xf>
    <xf numFmtId="0" fontId="0" fillId="0" borderId="0" xfId="0" applyFont="1" applyBorder="1" applyAlignment="1" applyProtection="1">
      <alignment/>
      <protection/>
    </xf>
    <xf numFmtId="0" fontId="0" fillId="5" borderId="1" xfId="0" applyFont="1" applyFill="1" applyBorder="1" applyAlignment="1" applyProtection="1">
      <alignment/>
      <protection/>
    </xf>
    <xf numFmtId="0" fontId="0" fillId="0" borderId="0" xfId="0" applyNumberFormat="1" applyFont="1" applyAlignment="1" applyProtection="1">
      <alignment/>
      <protection/>
    </xf>
    <xf numFmtId="0" fontId="0" fillId="3" borderId="1" xfId="0" applyFont="1" applyFill="1" applyBorder="1" applyAlignment="1" applyProtection="1">
      <alignment/>
      <protection/>
    </xf>
    <xf numFmtId="0" fontId="6" fillId="0" borderId="0" xfId="0" applyFont="1" applyBorder="1" applyAlignment="1" applyProtection="1">
      <alignment horizontal="right"/>
      <protection/>
    </xf>
    <xf numFmtId="0" fontId="2" fillId="0" borderId="0" xfId="0" applyFont="1" applyBorder="1" applyAlignment="1" applyProtection="1">
      <alignment horizontal="left"/>
      <protection/>
    </xf>
    <xf numFmtId="0" fontId="0" fillId="0" borderId="0" xfId="0" applyAlignment="1" applyProtection="1">
      <alignment horizontal="center"/>
      <protection/>
    </xf>
    <xf numFmtId="0" fontId="6" fillId="6" borderId="0" xfId="0" applyFont="1" applyFill="1" applyAlignment="1" applyProtection="1">
      <alignment/>
      <protection/>
    </xf>
    <xf numFmtId="0" fontId="2" fillId="6" borderId="0" xfId="0" applyFont="1" applyFill="1" applyBorder="1" applyAlignment="1" applyProtection="1">
      <alignment horizontal="center"/>
      <protection/>
    </xf>
    <xf numFmtId="164" fontId="2" fillId="6" borderId="0" xfId="0" applyNumberFormat="1" applyFont="1" applyFill="1" applyBorder="1" applyAlignment="1" applyProtection="1">
      <alignment horizontal="center"/>
      <protection/>
    </xf>
    <xf numFmtId="0" fontId="6" fillId="0" borderId="39" xfId="0" applyFont="1" applyBorder="1" applyAlignment="1" applyProtection="1">
      <alignment horizontal="left"/>
      <protection/>
    </xf>
    <xf numFmtId="0" fontId="6" fillId="0" borderId="40" xfId="0" applyFont="1" applyBorder="1" applyAlignment="1" applyProtection="1">
      <alignment horizontal="left"/>
      <protection/>
    </xf>
    <xf numFmtId="0" fontId="6" fillId="0" borderId="41" xfId="0" applyFont="1" applyBorder="1" applyAlignment="1" applyProtection="1">
      <alignment horizontal="left"/>
      <protection/>
    </xf>
    <xf numFmtId="0" fontId="0" fillId="0" borderId="12" xfId="0" applyBorder="1" applyAlignment="1" applyProtection="1">
      <alignment/>
      <protection/>
    </xf>
    <xf numFmtId="0" fontId="0" fillId="0" borderId="38" xfId="0" applyBorder="1" applyAlignment="1" applyProtection="1">
      <alignment/>
      <protection/>
    </xf>
    <xf numFmtId="0" fontId="2" fillId="0" borderId="37" xfId="0" applyFont="1" applyBorder="1" applyAlignment="1">
      <alignment/>
    </xf>
    <xf numFmtId="0" fontId="2" fillId="0" borderId="12" xfId="0" applyFont="1" applyBorder="1" applyAlignment="1">
      <alignment/>
    </xf>
    <xf numFmtId="0" fontId="2" fillId="0" borderId="38" xfId="0" applyFont="1" applyBorder="1" applyAlignment="1">
      <alignment/>
    </xf>
    <xf numFmtId="0" fontId="2" fillId="0" borderId="0" xfId="0" applyFont="1" applyBorder="1" applyAlignment="1">
      <alignment/>
    </xf>
    <xf numFmtId="0" fontId="0" fillId="0" borderId="12" xfId="0" applyBorder="1" applyAlignment="1">
      <alignment/>
    </xf>
    <xf numFmtId="0" fontId="0" fillId="0" borderId="38" xfId="0" applyBorder="1" applyAlignment="1">
      <alignment/>
    </xf>
    <xf numFmtId="0" fontId="2" fillId="0" borderId="0" xfId="0" applyFont="1" applyBorder="1" applyAlignment="1">
      <alignment horizontal="left" vertical="center"/>
    </xf>
    <xf numFmtId="1" fontId="0" fillId="0" borderId="0" xfId="0" applyNumberFormat="1" applyBorder="1" applyAlignment="1">
      <alignment horizontal="center" vertical="center"/>
    </xf>
    <xf numFmtId="0" fontId="0" fillId="0" borderId="0" xfId="0" applyNumberFormat="1" applyBorder="1" applyAlignment="1">
      <alignment/>
    </xf>
    <xf numFmtId="0" fontId="0" fillId="0" borderId="10" xfId="0" applyFont="1" applyBorder="1" applyAlignment="1" applyProtection="1">
      <alignment horizontal="left" wrapText="1"/>
      <protection/>
    </xf>
    <xf numFmtId="0" fontId="0" fillId="0" borderId="0" xfId="0" applyFont="1" applyBorder="1" applyAlignment="1" applyProtection="1">
      <alignment horizontal="left" wrapText="1"/>
      <protection/>
    </xf>
    <xf numFmtId="0" fontId="0" fillId="0" borderId="11" xfId="0" applyFont="1" applyBorder="1" applyAlignment="1" applyProtection="1">
      <alignment horizontal="left" wrapText="1"/>
      <protection/>
    </xf>
    <xf numFmtId="0" fontId="6" fillId="0" borderId="10" xfId="0" applyFont="1" applyBorder="1" applyAlignment="1" applyProtection="1">
      <alignment horizontal="left"/>
      <protection locked="0"/>
    </xf>
    <xf numFmtId="164" fontId="0" fillId="0" borderId="1" xfId="0" applyNumberFormat="1" applyFont="1" applyBorder="1" applyAlignment="1" applyProtection="1">
      <alignment vertical="center"/>
      <protection locked="0"/>
    </xf>
    <xf numFmtId="0" fontId="3" fillId="0" borderId="0" xfId="0" applyFont="1" applyBorder="1" applyAlignment="1" applyProtection="1">
      <alignment/>
      <protection/>
    </xf>
    <xf numFmtId="0" fontId="0" fillId="0" borderId="0" xfId="0" applyAlignment="1" applyProtection="1">
      <alignment horizontal="center" vertical="center"/>
      <protection locked="0"/>
    </xf>
    <xf numFmtId="0" fontId="6" fillId="0" borderId="6" xfId="0" applyFont="1" applyBorder="1" applyAlignment="1" applyProtection="1">
      <alignment vertical="center"/>
      <protection/>
    </xf>
    <xf numFmtId="0" fontId="2" fillId="0" borderId="6" xfId="0" applyFont="1" applyBorder="1" applyAlignment="1" applyProtection="1">
      <alignment vertical="center" wrapText="1"/>
      <protection/>
    </xf>
    <xf numFmtId="0" fontId="6" fillId="0" borderId="1" xfId="0" applyFont="1" applyBorder="1" applyAlignment="1" applyProtection="1">
      <alignment vertical="center"/>
      <protection/>
    </xf>
    <xf numFmtId="0" fontId="6" fillId="0" borderId="1" xfId="0" applyFont="1" applyBorder="1" applyAlignment="1" applyProtection="1">
      <alignment horizontal="left" vertical="center" wrapText="1"/>
      <protection/>
    </xf>
    <xf numFmtId="0" fontId="6" fillId="0" borderId="6" xfId="0" applyFont="1" applyBorder="1" applyAlignment="1" applyProtection="1">
      <alignment/>
      <protection/>
    </xf>
    <xf numFmtId="0" fontId="6" fillId="0" borderId="1" xfId="0" applyFont="1" applyBorder="1" applyAlignment="1" applyProtection="1">
      <alignment/>
      <protection/>
    </xf>
    <xf numFmtId="0" fontId="6" fillId="0" borderId="1" xfId="0" applyFont="1" applyBorder="1" applyAlignment="1" applyProtection="1">
      <alignment horizontal="left"/>
      <protection/>
    </xf>
    <xf numFmtId="0" fontId="7" fillId="0" borderId="1" xfId="0" applyNumberFormat="1" applyFont="1" applyBorder="1" applyAlignment="1" applyProtection="1">
      <alignment horizontal="center"/>
      <protection/>
    </xf>
    <xf numFmtId="9" fontId="7" fillId="0" borderId="1" xfId="0" applyNumberFormat="1" applyFont="1" applyBorder="1" applyAlignment="1" applyProtection="1">
      <alignment/>
      <protection/>
    </xf>
    <xf numFmtId="165" fontId="7" fillId="0" borderId="1" xfId="0" applyNumberFormat="1" applyFont="1" applyBorder="1" applyAlignment="1" applyProtection="1">
      <alignment/>
      <protection/>
    </xf>
    <xf numFmtId="0" fontId="7" fillId="9" borderId="1" xfId="0" applyFont="1" applyFill="1" applyBorder="1" applyAlignment="1" applyProtection="1">
      <alignment/>
      <protection/>
    </xf>
    <xf numFmtId="0" fontId="7" fillId="0" borderId="1" xfId="0" applyFont="1" applyFill="1" applyBorder="1" applyAlignment="1" applyProtection="1">
      <alignment/>
      <protection/>
    </xf>
    <xf numFmtId="0" fontId="3" fillId="0" borderId="0" xfId="0" applyFont="1" applyAlignment="1" applyProtection="1">
      <alignment horizontal="right"/>
      <protection/>
    </xf>
    <xf numFmtId="0" fontId="3" fillId="0" borderId="0" xfId="0" applyFont="1" applyAlignment="1" applyProtection="1">
      <alignment/>
      <protection/>
    </xf>
    <xf numFmtId="0" fontId="3" fillId="0" borderId="0" xfId="0" applyFont="1" applyAlignment="1" applyProtection="1">
      <alignment/>
      <protection/>
    </xf>
    <xf numFmtId="0" fontId="7" fillId="0" borderId="39"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9" fontId="7" fillId="6" borderId="0" xfId="0" applyNumberFormat="1" applyFont="1" applyFill="1" applyAlignment="1" applyProtection="1">
      <alignment vertical="top" wrapText="1"/>
      <protection/>
    </xf>
    <xf numFmtId="9" fontId="7" fillId="6" borderId="3" xfId="0" applyNumberFormat="1" applyFont="1" applyFill="1" applyBorder="1" applyAlignment="1" applyProtection="1">
      <alignment vertical="top" wrapText="1"/>
      <protection/>
    </xf>
    <xf numFmtId="9" fontId="7" fillId="6" borderId="3" xfId="0" applyNumberFormat="1" applyFont="1" applyFill="1" applyBorder="1" applyAlignment="1" applyProtection="1">
      <alignment/>
      <protection/>
    </xf>
    <xf numFmtId="0" fontId="7" fillId="5" borderId="1" xfId="0" applyFont="1" applyFill="1" applyBorder="1" applyAlignment="1" applyProtection="1">
      <alignment/>
      <protection/>
    </xf>
    <xf numFmtId="0" fontId="7" fillId="0" borderId="0" xfId="0" applyFont="1" applyAlignment="1" applyProtection="1">
      <alignment horizontal="right" vertical="top"/>
      <protection/>
    </xf>
    <xf numFmtId="0" fontId="7" fillId="9" borderId="1" xfId="0" applyFont="1" applyFill="1" applyBorder="1" applyAlignment="1" applyProtection="1">
      <alignment vertical="center"/>
      <protection/>
    </xf>
    <xf numFmtId="0" fontId="7" fillId="0" borderId="1" xfId="0" applyFont="1" applyFill="1" applyBorder="1" applyAlignment="1" applyProtection="1">
      <alignment vertical="center"/>
      <protection/>
    </xf>
    <xf numFmtId="0" fontId="7" fillId="0" borderId="4" xfId="0" applyFont="1" applyBorder="1" applyAlignment="1" applyProtection="1">
      <alignment/>
      <protection/>
    </xf>
    <xf numFmtId="0" fontId="7" fillId="9" borderId="4" xfId="0" applyFont="1" applyFill="1" applyBorder="1" applyAlignment="1" applyProtection="1">
      <alignment/>
      <protection/>
    </xf>
    <xf numFmtId="0" fontId="7" fillId="9" borderId="5" xfId="0" applyFont="1" applyFill="1" applyBorder="1" applyAlignment="1" applyProtection="1">
      <alignment/>
      <protection/>
    </xf>
    <xf numFmtId="0" fontId="7" fillId="0" borderId="6" xfId="0" applyFont="1" applyBorder="1" applyAlignment="1" applyProtection="1">
      <alignment/>
      <protection/>
    </xf>
    <xf numFmtId="0" fontId="7" fillId="9" borderId="6" xfId="0" applyFont="1" applyFill="1" applyBorder="1" applyAlignment="1" applyProtection="1">
      <alignment/>
      <protection/>
    </xf>
    <xf numFmtId="0" fontId="0" fillId="2" borderId="20" xfId="0" applyFill="1" applyBorder="1" applyAlignment="1" applyProtection="1">
      <alignment/>
      <protection/>
    </xf>
    <xf numFmtId="0" fontId="3" fillId="0" borderId="0" xfId="0" applyFont="1" applyAlignment="1" applyProtection="1">
      <alignment/>
      <protection/>
    </xf>
    <xf numFmtId="0" fontId="7" fillId="0" borderId="1" xfId="0" applyFont="1" applyBorder="1" applyAlignment="1" applyProtection="1">
      <alignment vertical="center"/>
      <protection/>
    </xf>
    <xf numFmtId="0" fontId="0" fillId="0" borderId="0" xfId="0" applyAlignment="1" applyProtection="1">
      <alignment vertical="top"/>
      <protection/>
    </xf>
    <xf numFmtId="0" fontId="8" fillId="0" borderId="10" xfId="0" applyFont="1" applyBorder="1" applyAlignment="1" applyProtection="1">
      <alignment vertical="center" wrapText="1"/>
      <protection/>
    </xf>
    <xf numFmtId="0" fontId="8" fillId="0" borderId="0" xfId="0" applyFont="1" applyBorder="1" applyAlignment="1" applyProtection="1">
      <alignment vertical="center" wrapText="1"/>
      <protection/>
    </xf>
    <xf numFmtId="0" fontId="0" fillId="0" borderId="7" xfId="0" applyBorder="1" applyAlignment="1" applyProtection="1">
      <alignment/>
      <protection locked="0"/>
    </xf>
    <xf numFmtId="0" fontId="0" fillId="0" borderId="0" xfId="0" applyAlignment="1" applyProtection="1">
      <alignment/>
      <protection locked="0"/>
    </xf>
    <xf numFmtId="0" fontId="0" fillId="0" borderId="9" xfId="0"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39" xfId="0" applyBorder="1" applyAlignment="1" applyProtection="1">
      <alignment/>
      <protection locked="0"/>
    </xf>
    <xf numFmtId="0" fontId="0" fillId="0" borderId="40" xfId="0" applyBorder="1" applyAlignment="1" applyProtection="1">
      <alignment/>
      <protection locked="0"/>
    </xf>
    <xf numFmtId="0" fontId="0" fillId="0" borderId="41" xfId="0" applyBorder="1" applyAlignment="1" applyProtection="1">
      <alignment/>
      <protection locked="0"/>
    </xf>
    <xf numFmtId="164" fontId="0" fillId="0" borderId="0" xfId="0" applyNumberFormat="1" applyAlignment="1" applyProtection="1">
      <alignment/>
      <protection/>
    </xf>
    <xf numFmtId="0" fontId="7" fillId="0" borderId="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2" fillId="0" borderId="12" xfId="0" applyFont="1" applyBorder="1" applyAlignment="1" applyProtection="1">
      <alignment horizontal="center"/>
      <protection/>
    </xf>
    <xf numFmtId="0" fontId="2" fillId="0" borderId="38" xfId="0" applyFont="1" applyBorder="1" applyAlignment="1" applyProtection="1">
      <alignment horizontal="center"/>
      <protection/>
    </xf>
    <xf numFmtId="0" fontId="6" fillId="6" borderId="0" xfId="0" applyFont="1" applyFill="1" applyAlignment="1" applyProtection="1">
      <alignment/>
      <protection/>
    </xf>
    <xf numFmtId="0" fontId="7" fillId="0" borderId="10" xfId="0" applyFont="1" applyBorder="1" applyAlignment="1" applyProtection="1">
      <alignment horizontal="center" vertical="center"/>
      <protection locked="0"/>
    </xf>
    <xf numFmtId="0" fontId="2" fillId="0" borderId="37" xfId="0" applyFont="1" applyBorder="1" applyAlignment="1" applyProtection="1">
      <alignment horizontal="center"/>
      <protection/>
    </xf>
    <xf numFmtId="0" fontId="7" fillId="6" borderId="33" xfId="0" applyFont="1" applyFill="1" applyBorder="1" applyAlignment="1" applyProtection="1">
      <alignment horizontal="center"/>
      <protection/>
    </xf>
    <xf numFmtId="0" fontId="7" fillId="6" borderId="14" xfId="0" applyFont="1" applyFill="1" applyBorder="1" applyAlignment="1" applyProtection="1">
      <alignment horizontal="center"/>
      <protection/>
    </xf>
    <xf numFmtId="0" fontId="7" fillId="6" borderId="25" xfId="0" applyFont="1" applyFill="1" applyBorder="1" applyAlignment="1" applyProtection="1">
      <alignment horizontal="center"/>
      <protection/>
    </xf>
    <xf numFmtId="0" fontId="7" fillId="6" borderId="3" xfId="0" applyFont="1" applyFill="1" applyBorder="1" applyAlignment="1" applyProtection="1">
      <alignment/>
      <protection/>
    </xf>
    <xf numFmtId="0" fontId="8" fillId="4" borderId="0" xfId="0" applyFont="1" applyFill="1" applyAlignment="1" applyProtection="1">
      <alignment vertical="top" wrapText="1"/>
      <protection/>
    </xf>
    <xf numFmtId="0" fontId="8" fillId="4" borderId="0" xfId="0" applyFont="1" applyFill="1" applyAlignment="1" applyProtection="1">
      <alignment horizontal="left" vertical="top"/>
      <protection/>
    </xf>
    <xf numFmtId="0" fontId="8" fillId="0" borderId="0" xfId="0" applyFont="1" applyFill="1" applyAlignment="1" applyProtection="1">
      <alignment horizontal="left" vertical="top"/>
      <protection/>
    </xf>
    <xf numFmtId="0" fontId="8" fillId="0" borderId="0" xfId="0" applyFont="1" applyAlignment="1" applyProtection="1">
      <alignment horizontal="left"/>
      <protection/>
    </xf>
    <xf numFmtId="0" fontId="2" fillId="0" borderId="10" xfId="0" applyFont="1" applyBorder="1" applyAlignment="1" applyProtection="1">
      <alignment horizontal="center"/>
      <protection/>
    </xf>
    <xf numFmtId="0" fontId="2" fillId="0" borderId="0" xfId="0" applyFont="1" applyBorder="1" applyAlignment="1" applyProtection="1">
      <alignment horizontal="center"/>
      <protection/>
    </xf>
    <xf numFmtId="9" fontId="7" fillId="6" borderId="0" xfId="0" applyNumberFormat="1" applyFont="1" applyFill="1" applyAlignment="1" applyProtection="1">
      <alignment/>
      <protection/>
    </xf>
    <xf numFmtId="0" fontId="7" fillId="6" borderId="0" xfId="0" applyFont="1" applyFill="1" applyAlignment="1" applyProtection="1">
      <alignment/>
      <protection/>
    </xf>
    <xf numFmtId="0" fontId="8" fillId="0" borderId="40" xfId="0" applyFont="1" applyBorder="1" applyAlignment="1" applyProtection="1">
      <alignment horizontal="left" vertical="center" wrapText="1"/>
      <protection/>
    </xf>
    <xf numFmtId="0" fontId="8" fillId="0" borderId="41" xfId="0" applyFont="1" applyBorder="1" applyAlignment="1" applyProtection="1">
      <alignment horizontal="left" vertical="center" wrapText="1"/>
      <protection/>
    </xf>
    <xf numFmtId="0" fontId="0" fillId="0" borderId="0" xfId="0" applyAlignment="1">
      <alignment/>
    </xf>
    <xf numFmtId="0" fontId="8" fillId="0" borderId="7" xfId="0" applyFont="1" applyBorder="1" applyAlignment="1" applyProtection="1">
      <alignment horizontal="left" vertical="center" wrapText="1"/>
      <protection/>
    </xf>
    <xf numFmtId="0" fontId="8" fillId="0" borderId="8" xfId="0" applyFont="1" applyBorder="1" applyAlignment="1" applyProtection="1">
      <alignment horizontal="left" vertical="center" wrapText="1"/>
      <protection/>
    </xf>
    <xf numFmtId="0" fontId="8" fillId="0" borderId="9" xfId="0" applyFont="1" applyBorder="1" applyAlignment="1" applyProtection="1">
      <alignment horizontal="left" vertical="center" wrapText="1"/>
      <protection/>
    </xf>
    <xf numFmtId="0" fontId="0" fillId="0" borderId="9" xfId="0" applyBorder="1" applyAlignment="1" applyProtection="1">
      <alignment horizontal="left"/>
      <protection locked="0"/>
    </xf>
    <xf numFmtId="0" fontId="8" fillId="0" borderId="39" xfId="0" applyFont="1" applyBorder="1" applyAlignment="1" applyProtection="1">
      <alignment horizontal="left" vertical="center" wrapText="1"/>
      <protection/>
    </xf>
    <xf numFmtId="0" fontId="0" fillId="0" borderId="0" xfId="0" applyFont="1" applyAlignment="1">
      <alignment/>
    </xf>
    <xf numFmtId="0" fontId="0" fillId="0" borderId="0" xfId="0" applyFont="1" applyAlignment="1" applyProtection="1">
      <alignment horizontal="left" vertical="center" wrapText="1"/>
      <protection/>
    </xf>
    <xf numFmtId="0" fontId="6" fillId="0" borderId="37" xfId="0" applyFont="1" applyBorder="1" applyAlignment="1" applyProtection="1">
      <alignment horizontal="center"/>
      <protection/>
    </xf>
    <xf numFmtId="0" fontId="6" fillId="0" borderId="12" xfId="0" applyFont="1" applyBorder="1" applyAlignment="1" applyProtection="1">
      <alignment horizontal="center"/>
      <protection/>
    </xf>
    <xf numFmtId="0" fontId="6" fillId="0" borderId="38" xfId="0" applyFont="1" applyBorder="1" applyAlignment="1" applyProtection="1">
      <alignment horizontal="center"/>
      <protection/>
    </xf>
    <xf numFmtId="0" fontId="0" fillId="0" borderId="39" xfId="0" applyBorder="1" applyAlignment="1" applyProtection="1">
      <alignment horizontal="left"/>
      <protection locked="0"/>
    </xf>
    <xf numFmtId="0" fontId="0" fillId="0" borderId="40" xfId="0" applyBorder="1" applyAlignment="1" applyProtection="1">
      <alignment horizontal="left"/>
      <protection locked="0"/>
    </xf>
    <xf numFmtId="0" fontId="0" fillId="0" borderId="41" xfId="0" applyBorder="1" applyAlignment="1" applyProtection="1">
      <alignment horizontal="left"/>
      <protection locked="0"/>
    </xf>
    <xf numFmtId="0" fontId="0" fillId="0" borderId="10" xfId="0" applyBorder="1" applyAlignment="1" applyProtection="1">
      <alignment horizontal="left"/>
      <protection locked="0"/>
    </xf>
    <xf numFmtId="0" fontId="0" fillId="0" borderId="0" xfId="0" applyBorder="1" applyAlignment="1" applyProtection="1">
      <alignment horizontal="left"/>
      <protection locked="0"/>
    </xf>
    <xf numFmtId="0" fontId="0" fillId="0" borderId="11" xfId="0" applyBorder="1" applyAlignment="1" applyProtection="1">
      <alignment horizontal="left"/>
      <protection locked="0"/>
    </xf>
    <xf numFmtId="0" fontId="6" fillId="0" borderId="10"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1" xfId="0" applyFont="1" applyBorder="1" applyAlignment="1" applyProtection="1">
      <alignment horizontal="left"/>
      <protection locked="0"/>
    </xf>
    <xf numFmtId="0" fontId="6" fillId="0" borderId="7" xfId="0" applyFont="1" applyBorder="1" applyAlignment="1" applyProtection="1">
      <alignment horizontal="left"/>
      <protection locked="0"/>
    </xf>
    <xf numFmtId="0" fontId="6" fillId="0" borderId="8" xfId="0" applyFont="1" applyBorder="1" applyAlignment="1" applyProtection="1">
      <alignment horizontal="left"/>
      <protection locked="0"/>
    </xf>
    <xf numFmtId="0" fontId="6" fillId="0" borderId="9" xfId="0" applyFont="1"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6" fillId="0" borderId="7" xfId="0" applyFont="1" applyBorder="1" applyAlignment="1" applyProtection="1">
      <alignment horizontal="left"/>
      <protection/>
    </xf>
    <xf numFmtId="0" fontId="6" fillId="0" borderId="8" xfId="0" applyFont="1" applyBorder="1" applyAlignment="1" applyProtection="1">
      <alignment horizontal="left"/>
      <protection/>
    </xf>
    <xf numFmtId="0" fontId="6" fillId="0" borderId="9" xfId="0" applyFont="1" applyBorder="1" applyAlignment="1" applyProtection="1">
      <alignment horizontal="left"/>
      <protection/>
    </xf>
    <xf numFmtId="0" fontId="7" fillId="6" borderId="13" xfId="0" applyFont="1" applyFill="1" applyBorder="1" applyAlignment="1" applyProtection="1" quotePrefix="1">
      <alignment horizontal="right" vertical="center"/>
      <protection/>
    </xf>
    <xf numFmtId="0" fontId="7" fillId="6" borderId="0" xfId="0" applyFont="1" applyFill="1" applyBorder="1" applyAlignment="1" applyProtection="1" quotePrefix="1">
      <alignment horizontal="right" vertical="center"/>
      <protection/>
    </xf>
    <xf numFmtId="0" fontId="7" fillId="6" borderId="36" xfId="0" applyFont="1" applyFill="1" applyBorder="1" applyAlignment="1" applyProtection="1" quotePrefix="1">
      <alignment horizontal="right" vertical="center"/>
      <protection/>
    </xf>
    <xf numFmtId="0" fontId="7" fillId="6" borderId="33" xfId="0" applyFont="1" applyFill="1" applyBorder="1" applyAlignment="1" applyProtection="1" quotePrefix="1">
      <alignment horizontal="right" vertical="center"/>
      <protection/>
    </xf>
    <xf numFmtId="0" fontId="7" fillId="6" borderId="16" xfId="0" applyFont="1" applyFill="1" applyBorder="1" applyAlignment="1" applyProtection="1">
      <alignment horizontal="right" vertical="center"/>
      <protection/>
    </xf>
    <xf numFmtId="0" fontId="7" fillId="6" borderId="25" xfId="0" applyFont="1" applyFill="1" applyBorder="1" applyAlignment="1" applyProtection="1">
      <alignment horizontal="right" vertical="center"/>
      <protection/>
    </xf>
    <xf numFmtId="0" fontId="7" fillId="6" borderId="13" xfId="0" applyFont="1" applyFill="1" applyBorder="1" applyAlignment="1" applyProtection="1">
      <alignment horizontal="right" vertical="center"/>
      <protection/>
    </xf>
    <xf numFmtId="0" fontId="7" fillId="6" borderId="0" xfId="0" applyFont="1" applyFill="1" applyBorder="1" applyAlignment="1" applyProtection="1">
      <alignment horizontal="right" vertical="center"/>
      <protection/>
    </xf>
    <xf numFmtId="0" fontId="0" fillId="0" borderId="19" xfId="0" applyBorder="1" applyAlignment="1" applyProtection="1">
      <alignment horizontal="left"/>
      <protection/>
    </xf>
    <xf numFmtId="0" fontId="0" fillId="0" borderId="14" xfId="0" applyBorder="1" applyAlignment="1" applyProtection="1">
      <alignment horizontal="left"/>
      <protection/>
    </xf>
    <xf numFmtId="0" fontId="0" fillId="0" borderId="20" xfId="0" applyBorder="1" applyAlignment="1" applyProtection="1">
      <alignment horizontal="left"/>
      <protection/>
    </xf>
    <xf numFmtId="164" fontId="3" fillId="0" borderId="42" xfId="0" applyNumberFormat="1" applyFont="1" applyFill="1" applyBorder="1" applyAlignment="1" applyProtection="1">
      <alignment horizontal="right" vertical="center" wrapText="1"/>
      <protection/>
    </xf>
    <xf numFmtId="164" fontId="3" fillId="0" borderId="22" xfId="0" applyNumberFormat="1" applyFont="1" applyFill="1" applyBorder="1" applyAlignment="1" applyProtection="1">
      <alignment horizontal="right" vertical="center" wrapText="1"/>
      <protection/>
    </xf>
    <xf numFmtId="164" fontId="3" fillId="0" borderId="21" xfId="0" applyNumberFormat="1" applyFont="1" applyFill="1" applyBorder="1" applyAlignment="1" applyProtection="1">
      <alignment horizontal="right" vertical="center" wrapText="1"/>
      <protection/>
    </xf>
    <xf numFmtId="164" fontId="3" fillId="0" borderId="23" xfId="0" applyNumberFormat="1" applyFont="1" applyFill="1" applyBorder="1" applyAlignment="1" applyProtection="1">
      <alignment horizontal="right" vertical="center" wrapText="1"/>
      <protection/>
    </xf>
    <xf numFmtId="0" fontId="0" fillId="0" borderId="19" xfId="0" applyBorder="1" applyAlignment="1" applyProtection="1">
      <alignment horizontal="left" vertical="center" wrapText="1"/>
      <protection/>
    </xf>
    <xf numFmtId="0" fontId="0" fillId="0" borderId="20" xfId="0" applyBorder="1" applyAlignment="1" applyProtection="1">
      <alignment horizontal="left" vertical="center" wrapText="1"/>
      <protection/>
    </xf>
    <xf numFmtId="0" fontId="2" fillId="0" borderId="43" xfId="0" applyFont="1" applyBorder="1" applyAlignment="1" applyProtection="1">
      <alignment horizontal="left" vertical="center" wrapText="1"/>
      <protection/>
    </xf>
    <xf numFmtId="0" fontId="2" fillId="0" borderId="44" xfId="0" applyFont="1" applyBorder="1" applyAlignment="1" applyProtection="1">
      <alignment horizontal="left" vertical="center" wrapText="1"/>
      <protection/>
    </xf>
    <xf numFmtId="164" fontId="3" fillId="0" borderId="45" xfId="0" applyNumberFormat="1" applyFont="1" applyFill="1" applyBorder="1" applyAlignment="1" applyProtection="1">
      <alignment horizontal="right" vertical="center" wrapText="1"/>
      <protection/>
    </xf>
    <xf numFmtId="0" fontId="0" fillId="9" borderId="19" xfId="0" applyFill="1" applyBorder="1" applyAlignment="1" applyProtection="1">
      <alignment horizontal="left" vertical="center"/>
      <protection/>
    </xf>
    <xf numFmtId="0" fontId="0" fillId="9" borderId="14" xfId="0" applyFill="1" applyBorder="1" applyAlignment="1" applyProtection="1">
      <alignment horizontal="left" vertical="center"/>
      <protection/>
    </xf>
    <xf numFmtId="0" fontId="0" fillId="9" borderId="20" xfId="0" applyFill="1" applyBorder="1" applyAlignment="1" applyProtection="1">
      <alignment horizontal="left" vertical="center"/>
      <protection/>
    </xf>
    <xf numFmtId="164" fontId="3" fillId="0" borderId="46" xfId="0" applyNumberFormat="1" applyFont="1" applyBorder="1" applyAlignment="1" applyProtection="1">
      <alignment horizontal="right" vertical="center" wrapText="1"/>
      <protection locked="0"/>
    </xf>
    <xf numFmtId="164" fontId="3" fillId="0" borderId="18" xfId="0" applyNumberFormat="1" applyFont="1" applyFill="1" applyBorder="1" applyAlignment="1" applyProtection="1">
      <alignment horizontal="right" vertical="center" wrapText="1"/>
      <protection/>
    </xf>
    <xf numFmtId="164" fontId="3" fillId="0" borderId="47" xfId="0" applyNumberFormat="1" applyFont="1" applyFill="1" applyBorder="1" applyAlignment="1" applyProtection="1">
      <alignment horizontal="right" vertical="center" wrapText="1"/>
      <protection/>
    </xf>
    <xf numFmtId="0" fontId="3" fillId="0" borderId="43" xfId="0" applyFont="1" applyFill="1" applyBorder="1" applyAlignment="1" applyProtection="1">
      <alignment horizontal="left" vertical="center" wrapText="1"/>
      <protection/>
    </xf>
    <xf numFmtId="0" fontId="3" fillId="0" borderId="44" xfId="0" applyFont="1" applyFill="1" applyBorder="1" applyAlignment="1" applyProtection="1">
      <alignment horizontal="left" vertical="center" wrapText="1"/>
      <protection/>
    </xf>
    <xf numFmtId="164" fontId="3" fillId="0" borderId="48" xfId="0" applyNumberFormat="1" applyFont="1" applyBorder="1" applyAlignment="1" applyProtection="1">
      <alignment horizontal="right" vertical="center" wrapText="1"/>
      <protection locked="0"/>
    </xf>
    <xf numFmtId="164" fontId="3" fillId="0" borderId="18" xfId="0" applyNumberFormat="1" applyFont="1" applyBorder="1" applyAlignment="1" applyProtection="1">
      <alignment horizontal="right" vertical="center" wrapText="1"/>
      <protection locked="0"/>
    </xf>
    <xf numFmtId="0" fontId="2" fillId="0" borderId="49" xfId="0" applyFont="1" applyFill="1" applyBorder="1" applyAlignment="1" applyProtection="1">
      <alignment horizontal="left" vertical="center" wrapText="1"/>
      <protection/>
    </xf>
    <xf numFmtId="0" fontId="2" fillId="0" borderId="50" xfId="0" applyFont="1" applyFill="1" applyBorder="1" applyAlignment="1" applyProtection="1">
      <alignment horizontal="left" vertical="center" wrapText="1"/>
      <protection/>
    </xf>
    <xf numFmtId="164" fontId="3" fillId="0" borderId="51" xfId="0" applyNumberFormat="1" applyFont="1" applyFill="1" applyBorder="1" applyAlignment="1" applyProtection="1">
      <alignment horizontal="right" vertical="center" wrapText="1"/>
      <protection/>
    </xf>
    <xf numFmtId="164" fontId="3" fillId="0" borderId="52" xfId="0" applyNumberFormat="1" applyFont="1" applyFill="1" applyBorder="1" applyAlignment="1" applyProtection="1">
      <alignment horizontal="right" vertical="center" wrapText="1"/>
      <protection/>
    </xf>
    <xf numFmtId="0" fontId="0" fillId="9" borderId="19" xfId="0" applyFill="1" applyBorder="1" applyAlignment="1" applyProtection="1">
      <alignment horizontal="left"/>
      <protection/>
    </xf>
    <xf numFmtId="0" fontId="0" fillId="9" borderId="14" xfId="0" applyFill="1" applyBorder="1" applyAlignment="1" applyProtection="1">
      <alignment horizontal="left"/>
      <protection/>
    </xf>
    <xf numFmtId="0" fontId="0" fillId="5" borderId="19" xfId="0" applyFill="1" applyBorder="1" applyAlignment="1" applyProtection="1">
      <alignment horizontal="left"/>
      <protection/>
    </xf>
    <xf numFmtId="0" fontId="0" fillId="5" borderId="20" xfId="0" applyFill="1" applyBorder="1" applyAlignment="1" applyProtection="1">
      <alignment horizontal="left"/>
      <protection/>
    </xf>
    <xf numFmtId="0" fontId="3" fillId="5" borderId="46" xfId="0" applyFont="1" applyFill="1" applyBorder="1" applyAlignment="1" applyProtection="1">
      <alignment horizontal="right" wrapText="1"/>
      <protection/>
    </xf>
    <xf numFmtId="164" fontId="3" fillId="0" borderId="46" xfId="0" applyNumberFormat="1" applyFont="1" applyFill="1" applyBorder="1" applyAlignment="1" applyProtection="1">
      <alignment horizontal="right" wrapText="1"/>
      <protection/>
    </xf>
    <xf numFmtId="164" fontId="3" fillId="0" borderId="53" xfId="0" applyNumberFormat="1" applyFont="1" applyFill="1" applyBorder="1" applyAlignment="1" applyProtection="1">
      <alignment horizontal="right" wrapText="1"/>
      <protection/>
    </xf>
    <xf numFmtId="0" fontId="2" fillId="0" borderId="7" xfId="0" applyFont="1" applyBorder="1" applyAlignment="1" applyProtection="1">
      <alignment horizontal="left" wrapText="1"/>
      <protection/>
    </xf>
    <xf numFmtId="0" fontId="2" fillId="0" borderId="9" xfId="0" applyFont="1" applyBorder="1" applyAlignment="1" applyProtection="1">
      <alignment horizontal="left" wrapText="1"/>
      <protection/>
    </xf>
    <xf numFmtId="164" fontId="3" fillId="0" borderId="54" xfId="0" applyNumberFormat="1" applyFont="1" applyBorder="1" applyAlignment="1" applyProtection="1">
      <alignment horizontal="right" wrapText="1"/>
      <protection locked="0"/>
    </xf>
    <xf numFmtId="164" fontId="3" fillId="0" borderId="34" xfId="0" applyNumberFormat="1" applyFont="1" applyBorder="1" applyAlignment="1" applyProtection="1">
      <alignment horizontal="right" wrapText="1"/>
      <protection locked="0"/>
    </xf>
    <xf numFmtId="0" fontId="3" fillId="5" borderId="1" xfId="0" applyFont="1" applyFill="1" applyBorder="1" applyAlignment="1" applyProtection="1">
      <alignment horizontal="right" wrapText="1"/>
      <protection/>
    </xf>
    <xf numFmtId="164" fontId="3" fillId="0" borderId="1" xfId="0" applyNumberFormat="1" applyFont="1" applyFill="1" applyBorder="1" applyAlignment="1" applyProtection="1">
      <alignment horizontal="right" wrapText="1"/>
      <protection/>
    </xf>
    <xf numFmtId="164" fontId="3" fillId="0" borderId="55" xfId="0" applyNumberFormat="1" applyFont="1" applyFill="1" applyBorder="1" applyAlignment="1" applyProtection="1">
      <alignment horizontal="right" wrapText="1"/>
      <protection/>
    </xf>
    <xf numFmtId="164" fontId="3" fillId="0" borderId="56" xfId="0" applyNumberFormat="1" applyFont="1" applyBorder="1" applyAlignment="1" applyProtection="1">
      <alignment horizontal="right" wrapText="1"/>
      <protection locked="0"/>
    </xf>
    <xf numFmtId="164" fontId="3" fillId="0" borderId="1" xfId="0" applyNumberFormat="1" applyFont="1" applyBorder="1" applyAlignment="1" applyProtection="1">
      <alignment horizontal="right" wrapText="1"/>
      <protection locked="0"/>
    </xf>
    <xf numFmtId="0" fontId="3" fillId="0" borderId="39" xfId="0" applyFont="1" applyBorder="1" applyAlignment="1" applyProtection="1">
      <alignment horizontal="left" wrapText="1"/>
      <protection/>
    </xf>
    <xf numFmtId="0" fontId="3" fillId="0" borderId="41" xfId="0" applyFont="1" applyBorder="1" applyAlignment="1" applyProtection="1">
      <alignment horizontal="left" wrapText="1"/>
      <protection/>
    </xf>
    <xf numFmtId="0" fontId="3" fillId="0" borderId="57" xfId="0" applyFont="1" applyBorder="1" applyAlignment="1" applyProtection="1">
      <alignment horizontal="left" wrapText="1"/>
      <protection/>
    </xf>
    <xf numFmtId="0" fontId="3" fillId="0" borderId="58" xfId="0" applyFont="1" applyBorder="1" applyAlignment="1" applyProtection="1">
      <alignment horizontal="left" wrapText="1"/>
      <protection/>
    </xf>
    <xf numFmtId="0" fontId="2" fillId="0" borderId="37" xfId="0" applyFont="1" applyBorder="1" applyAlignment="1" applyProtection="1">
      <alignment horizontal="left" wrapText="1"/>
      <protection/>
    </xf>
    <xf numFmtId="0" fontId="2" fillId="0" borderId="38" xfId="0" applyFont="1" applyBorder="1" applyAlignment="1" applyProtection="1">
      <alignment horizontal="left" wrapText="1"/>
      <protection/>
    </xf>
    <xf numFmtId="0" fontId="3" fillId="5" borderId="59" xfId="0" applyFont="1" applyFill="1" applyBorder="1" applyAlignment="1" applyProtection="1">
      <alignment horizontal="right" wrapText="1"/>
      <protection/>
    </xf>
    <xf numFmtId="0" fontId="3" fillId="5" borderId="14" xfId="0" applyFont="1" applyFill="1" applyBorder="1" applyAlignment="1" applyProtection="1">
      <alignment horizontal="right" wrapText="1"/>
      <protection/>
    </xf>
    <xf numFmtId="0" fontId="3" fillId="5" borderId="60" xfId="0" applyFont="1" applyFill="1" applyBorder="1" applyAlignment="1" applyProtection="1">
      <alignment horizontal="right" wrapText="1"/>
      <protection/>
    </xf>
    <xf numFmtId="0" fontId="3" fillId="5" borderId="55" xfId="0" applyFont="1" applyFill="1" applyBorder="1" applyAlignment="1" applyProtection="1">
      <alignment horizontal="right" wrapText="1"/>
      <protection/>
    </xf>
    <xf numFmtId="0" fontId="3" fillId="5" borderId="26" xfId="0" applyFont="1" applyFill="1" applyBorder="1" applyAlignment="1" applyProtection="1">
      <alignment horizontal="right" wrapText="1"/>
      <protection/>
    </xf>
    <xf numFmtId="0" fontId="3" fillId="5" borderId="56" xfId="0" applyFont="1" applyFill="1" applyBorder="1" applyAlignment="1" applyProtection="1">
      <alignment horizontal="right" wrapText="1"/>
      <protection/>
    </xf>
    <xf numFmtId="0" fontId="3" fillId="5" borderId="29" xfId="0" applyFont="1" applyFill="1" applyBorder="1" applyAlignment="1" applyProtection="1">
      <alignment horizontal="right" wrapText="1"/>
      <protection/>
    </xf>
    <xf numFmtId="0" fontId="0" fillId="0" borderId="5" xfId="0" applyBorder="1" applyAlignment="1" applyProtection="1">
      <alignment horizontal="center" vertical="center" wrapText="1"/>
      <protection/>
    </xf>
    <xf numFmtId="0" fontId="2" fillId="0" borderId="7"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0" fillId="0" borderId="1" xfId="0"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38" xfId="0" applyFont="1" applyBorder="1" applyAlignment="1" applyProtection="1">
      <alignment horizontal="center" vertical="center" wrapText="1"/>
      <protection/>
    </xf>
    <xf numFmtId="0" fontId="2" fillId="0" borderId="7" xfId="0"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0" fillId="0" borderId="14" xfId="0" applyBorder="1" applyAlignment="1" applyProtection="1">
      <alignment horizontal="right"/>
      <protection/>
    </xf>
    <xf numFmtId="0" fontId="0" fillId="0" borderId="20" xfId="0" applyBorder="1" applyAlignment="1" applyProtection="1">
      <alignment horizontal="right"/>
      <protection/>
    </xf>
    <xf numFmtId="0" fontId="5" fillId="0" borderId="0" xfId="20" applyFont="1" applyAlignment="1" applyProtection="1">
      <alignment horizontal="left" vertical="center" wrapText="1"/>
      <protection/>
    </xf>
    <xf numFmtId="0" fontId="16" fillId="0" borderId="0" xfId="20" applyFont="1" applyAlignment="1" applyProtection="1">
      <alignment horizontal="left"/>
      <protection/>
    </xf>
    <xf numFmtId="0" fontId="5" fillId="0" borderId="0" xfId="20" applyFont="1" applyAlignment="1" applyProtection="1">
      <alignment horizontal="left"/>
      <protection/>
    </xf>
    <xf numFmtId="0" fontId="7" fillId="0" borderId="5" xfId="0" applyFont="1" applyBorder="1" applyAlignment="1" applyProtection="1">
      <alignment horizontal="center" vertical="center" wrapText="1"/>
      <protection/>
    </xf>
    <xf numFmtId="0" fontId="7" fillId="0" borderId="18" xfId="0" applyFont="1" applyBorder="1" applyAlignment="1" applyProtection="1">
      <alignment horizontal="center" vertical="center" wrapText="1"/>
      <protection/>
    </xf>
    <xf numFmtId="0" fontId="7" fillId="0" borderId="2" xfId="0" applyFont="1" applyBorder="1" applyAlignment="1" applyProtection="1">
      <alignment horizontal="center" vertical="center" wrapText="1"/>
      <protection/>
    </xf>
    <xf numFmtId="0" fontId="9" fillId="0" borderId="5" xfId="20" applyFont="1" applyBorder="1" applyAlignment="1" applyProtection="1">
      <alignment horizontal="center" vertical="center" wrapText="1"/>
      <protection/>
    </xf>
    <xf numFmtId="0" fontId="9" fillId="0" borderId="18" xfId="20" applyFont="1" applyBorder="1" applyAlignment="1" applyProtection="1">
      <alignment horizontal="center" vertical="center" wrapText="1"/>
      <protection/>
    </xf>
    <xf numFmtId="0" fontId="7" fillId="14" borderId="2" xfId="20" applyFont="1" applyFill="1" applyBorder="1" applyAlignment="1" applyProtection="1">
      <alignment horizontal="center" vertical="center" wrapText="1"/>
      <protection/>
    </xf>
    <xf numFmtId="0" fontId="7" fillId="14" borderId="18" xfId="20" applyFont="1" applyFill="1" applyBorder="1" applyAlignment="1" applyProtection="1">
      <alignment horizontal="center" vertical="center" wrapText="1"/>
      <protection/>
    </xf>
    <xf numFmtId="0" fontId="7" fillId="16" borderId="2" xfId="20" applyFont="1" applyFill="1" applyBorder="1" applyAlignment="1" applyProtection="1">
      <alignment horizontal="center" vertical="center" wrapText="1"/>
      <protection/>
    </xf>
    <xf numFmtId="0" fontId="7" fillId="16" borderId="18" xfId="20" applyFont="1" applyFill="1" applyBorder="1" applyAlignment="1" applyProtection="1">
      <alignment horizontal="center" vertical="center" wrapText="1"/>
      <protection/>
    </xf>
    <xf numFmtId="0" fontId="7" fillId="0" borderId="3" xfId="0" applyFont="1" applyBorder="1" applyAlignment="1" applyProtection="1">
      <alignment horizontal="center" wrapText="1"/>
      <protection/>
    </xf>
    <xf numFmtId="0" fontId="9" fillId="14" borderId="5" xfId="20" applyFont="1" applyFill="1" applyBorder="1" applyAlignment="1" applyProtection="1">
      <alignment horizontal="center" wrapText="1"/>
      <protection/>
    </xf>
    <xf numFmtId="0" fontId="9" fillId="14" borderId="2" xfId="20" applyFont="1" applyFill="1" applyBorder="1" applyAlignment="1" applyProtection="1">
      <alignment horizontal="center" wrapText="1"/>
      <protection/>
    </xf>
    <xf numFmtId="0" fontId="7" fillId="0" borderId="2" xfId="0" applyFont="1" applyBorder="1" applyAlignment="1" applyProtection="1">
      <alignment horizontal="center" wrapText="1"/>
      <protection/>
    </xf>
    <xf numFmtId="0" fontId="9" fillId="16" borderId="5" xfId="20" applyFont="1" applyFill="1" applyBorder="1" applyAlignment="1" applyProtection="1">
      <alignment horizontal="center" wrapText="1"/>
      <protection/>
    </xf>
    <xf numFmtId="0" fontId="9" fillId="16" borderId="2" xfId="20" applyFont="1" applyFill="1" applyBorder="1" applyAlignment="1" applyProtection="1">
      <alignment horizontal="center" wrapText="1"/>
      <protection/>
    </xf>
    <xf numFmtId="0" fontId="7" fillId="0" borderId="19" xfId="0" applyFont="1" applyBorder="1" applyAlignment="1" applyProtection="1">
      <alignment horizontal="center"/>
      <protection/>
    </xf>
    <xf numFmtId="0" fontId="7" fillId="0" borderId="14" xfId="0" applyFont="1" applyBorder="1" applyAlignment="1" applyProtection="1">
      <alignment horizontal="center"/>
      <protection/>
    </xf>
    <xf numFmtId="0" fontId="7" fillId="0" borderId="20" xfId="0" applyFont="1" applyBorder="1" applyAlignment="1" applyProtection="1">
      <alignment horizontal="center"/>
      <protection/>
    </xf>
    <xf numFmtId="0" fontId="9" fillId="17" borderId="5" xfId="20" applyFont="1" applyFill="1" applyBorder="1" applyAlignment="1" applyProtection="1">
      <alignment horizontal="center" wrapText="1"/>
      <protection/>
    </xf>
    <xf numFmtId="0" fontId="9" fillId="17" borderId="2" xfId="20" applyFont="1" applyFill="1" applyBorder="1" applyAlignment="1" applyProtection="1">
      <alignment horizontal="center" wrapText="1"/>
      <protection/>
    </xf>
    <xf numFmtId="0" fontId="9" fillId="18" borderId="5" xfId="20" applyFont="1" applyFill="1" applyBorder="1" applyAlignment="1" applyProtection="1">
      <alignment horizontal="center" wrapText="1"/>
      <protection/>
    </xf>
    <xf numFmtId="0" fontId="9" fillId="18" borderId="2" xfId="20" applyFont="1" applyFill="1" applyBorder="1" applyAlignment="1" applyProtection="1">
      <alignment horizontal="center" wrapText="1"/>
      <protection/>
    </xf>
    <xf numFmtId="0" fontId="9" fillId="19" borderId="5" xfId="20" applyFont="1" applyFill="1" applyBorder="1" applyAlignment="1" applyProtection="1">
      <alignment horizontal="center" wrapText="1"/>
      <protection/>
    </xf>
    <xf numFmtId="0" fontId="9" fillId="19" borderId="2" xfId="20" applyFont="1" applyFill="1" applyBorder="1" applyAlignment="1" applyProtection="1">
      <alignment horizontal="center" wrapText="1"/>
      <protection/>
    </xf>
    <xf numFmtId="0" fontId="9" fillId="0" borderId="16" xfId="20" applyFont="1" applyBorder="1" applyAlignment="1" applyProtection="1">
      <alignment horizontal="center" vertical="center" wrapText="1"/>
      <protection/>
    </xf>
    <xf numFmtId="0" fontId="9" fillId="0" borderId="25" xfId="20" applyFont="1" applyBorder="1" applyAlignment="1" applyProtection="1">
      <alignment horizontal="center" vertical="center" wrapText="1"/>
      <protection/>
    </xf>
    <xf numFmtId="0" fontId="9" fillId="0" borderId="17" xfId="20" applyFont="1" applyBorder="1" applyAlignment="1" applyProtection="1">
      <alignment horizontal="center" vertical="center" wrapText="1"/>
      <protection/>
    </xf>
    <xf numFmtId="0" fontId="9" fillId="0" borderId="13" xfId="20" applyFont="1" applyBorder="1" applyAlignment="1" applyProtection="1">
      <alignment horizontal="center" vertical="center" wrapText="1"/>
      <protection/>
    </xf>
    <xf numFmtId="0" fontId="9" fillId="0" borderId="0" xfId="20" applyFont="1" applyBorder="1" applyAlignment="1" applyProtection="1">
      <alignment horizontal="center" vertical="center" wrapText="1"/>
      <protection/>
    </xf>
    <xf numFmtId="0" fontId="9" fillId="0" borderId="3" xfId="20" applyFont="1" applyBorder="1" applyAlignment="1" applyProtection="1">
      <alignment horizontal="center" vertical="center" wrapText="1"/>
      <protection/>
    </xf>
    <xf numFmtId="0" fontId="9" fillId="0" borderId="5" xfId="20" applyFont="1" applyBorder="1" applyAlignment="1" applyProtection="1">
      <alignment horizontal="center" wrapText="1"/>
      <protection/>
    </xf>
    <xf numFmtId="0" fontId="9" fillId="0" borderId="2" xfId="20" applyFont="1" applyBorder="1" applyAlignment="1" applyProtection="1">
      <alignment horizontal="center" wrapText="1"/>
      <protection/>
    </xf>
    <xf numFmtId="0" fontId="9" fillId="0" borderId="18" xfId="20" applyFont="1" applyBorder="1" applyAlignment="1" applyProtection="1">
      <alignment horizontal="center" wrapText="1"/>
      <protection/>
    </xf>
    <xf numFmtId="0" fontId="7" fillId="17" borderId="2" xfId="20" applyFont="1" applyFill="1" applyBorder="1" applyAlignment="1" applyProtection="1">
      <alignment horizontal="center" vertical="center" wrapText="1"/>
      <protection/>
    </xf>
    <xf numFmtId="0" fontId="7" fillId="17" borderId="18" xfId="20" applyFont="1" applyFill="1" applyBorder="1" applyAlignment="1" applyProtection="1">
      <alignment horizontal="center" vertical="center" wrapText="1"/>
      <protection/>
    </xf>
    <xf numFmtId="0" fontId="7" fillId="18" borderId="2" xfId="20" applyFont="1" applyFill="1" applyBorder="1" applyAlignment="1" applyProtection="1">
      <alignment horizontal="center" vertical="center" wrapText="1"/>
      <protection/>
    </xf>
    <xf numFmtId="0" fontId="7" fillId="18" borderId="18" xfId="20" applyFont="1" applyFill="1" applyBorder="1" applyAlignment="1" applyProtection="1">
      <alignment horizontal="center" vertical="center" wrapText="1"/>
      <protection/>
    </xf>
    <xf numFmtId="0" fontId="7" fillId="19" borderId="2" xfId="20" applyFont="1" applyFill="1" applyBorder="1" applyAlignment="1" applyProtection="1">
      <alignment horizontal="center" vertical="center" wrapText="1"/>
      <protection/>
    </xf>
    <xf numFmtId="0" fontId="7" fillId="19" borderId="18" xfId="20" applyFont="1" applyFill="1" applyBorder="1" applyAlignment="1" applyProtection="1">
      <alignment horizontal="center"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9" fillId="11" borderId="5" xfId="20" applyFont="1" applyFill="1" applyBorder="1" applyAlignment="1" applyProtection="1">
      <alignment horizontal="center" wrapText="1"/>
      <protection/>
    </xf>
    <xf numFmtId="0" fontId="9" fillId="11" borderId="2" xfId="20" applyFont="1" applyFill="1" applyBorder="1" applyAlignment="1" applyProtection="1">
      <alignment horizontal="center" wrapText="1"/>
      <protection/>
    </xf>
    <xf numFmtId="0" fontId="9" fillId="12" borderId="5" xfId="20" applyFont="1" applyFill="1" applyBorder="1" applyAlignment="1" applyProtection="1">
      <alignment horizontal="center" wrapText="1"/>
      <protection/>
    </xf>
    <xf numFmtId="0" fontId="9" fillId="12" borderId="2" xfId="20" applyFont="1" applyFill="1" applyBorder="1" applyAlignment="1" applyProtection="1">
      <alignment horizontal="center" wrapText="1"/>
      <protection/>
    </xf>
    <xf numFmtId="0" fontId="7" fillId="0" borderId="13" xfId="0" applyFont="1" applyBorder="1" applyAlignment="1" applyProtection="1">
      <alignment horizontal="center" wrapText="1"/>
      <protection/>
    </xf>
    <xf numFmtId="0" fontId="7" fillId="11" borderId="2" xfId="20" applyFont="1" applyFill="1" applyBorder="1" applyAlignment="1" applyProtection="1">
      <alignment horizontal="center" vertical="center"/>
      <protection/>
    </xf>
    <xf numFmtId="0" fontId="7" fillId="11" borderId="18" xfId="20" applyFont="1" applyFill="1" applyBorder="1" applyAlignment="1" applyProtection="1">
      <alignment horizontal="center" vertical="center"/>
      <protection/>
    </xf>
    <xf numFmtId="0" fontId="7" fillId="12" borderId="2" xfId="20" applyFont="1" applyFill="1" applyBorder="1" applyAlignment="1" applyProtection="1">
      <alignment horizontal="center" vertical="center"/>
      <protection/>
    </xf>
    <xf numFmtId="0" fontId="7" fillId="12" borderId="18" xfId="20" applyFont="1" applyFill="1" applyBorder="1" applyAlignment="1" applyProtection="1">
      <alignment horizontal="center" vertical="center"/>
      <protection/>
    </xf>
    <xf numFmtId="0" fontId="0" fillId="0" borderId="33" xfId="0" applyFont="1" applyBorder="1" applyAlignment="1" applyProtection="1">
      <alignment horizontal="left"/>
      <protection/>
    </xf>
    <xf numFmtId="0" fontId="7" fillId="16" borderId="2" xfId="0" applyFont="1" applyFill="1" applyBorder="1" applyAlignment="1" applyProtection="1">
      <alignment horizontal="center" vertical="center" wrapText="1"/>
      <protection/>
    </xf>
    <xf numFmtId="0" fontId="7" fillId="16" borderId="18" xfId="0" applyFont="1" applyFill="1" applyBorder="1" applyAlignment="1" applyProtection="1">
      <alignment horizontal="center" vertical="center" wrapText="1"/>
      <protection/>
    </xf>
    <xf numFmtId="0" fontId="7" fillId="17" borderId="2" xfId="0" applyFont="1" applyFill="1" applyBorder="1" applyAlignment="1" applyProtection="1">
      <alignment horizontal="center" vertical="center" wrapText="1"/>
      <protection/>
    </xf>
    <xf numFmtId="0" fontId="7" fillId="17" borderId="18" xfId="0" applyFont="1" applyFill="1" applyBorder="1" applyAlignment="1" applyProtection="1">
      <alignment horizontal="center" vertical="center" wrapText="1"/>
      <protection/>
    </xf>
    <xf numFmtId="0" fontId="7" fillId="18" borderId="2" xfId="0" applyFont="1" applyFill="1" applyBorder="1" applyAlignment="1" applyProtection="1">
      <alignment horizontal="center" vertical="center" wrapText="1"/>
      <protection/>
    </xf>
    <xf numFmtId="0" fontId="7" fillId="18" borderId="18" xfId="0" applyFont="1" applyFill="1" applyBorder="1" applyAlignment="1" applyProtection="1">
      <alignment horizontal="center" vertical="center" wrapText="1"/>
      <protection/>
    </xf>
    <xf numFmtId="0" fontId="7" fillId="19" borderId="2" xfId="0" applyFont="1" applyFill="1" applyBorder="1" applyAlignment="1" applyProtection="1">
      <alignment horizontal="center" vertical="center" wrapText="1"/>
      <protection/>
    </xf>
    <xf numFmtId="0" fontId="7" fillId="19" borderId="18" xfId="0" applyFont="1" applyFill="1" applyBorder="1" applyAlignment="1" applyProtection="1">
      <alignment horizontal="center" vertical="center" wrapText="1"/>
      <protection/>
    </xf>
    <xf numFmtId="0" fontId="7" fillId="13" borderId="2" xfId="0" applyFont="1" applyFill="1" applyBorder="1" applyAlignment="1" applyProtection="1">
      <alignment horizontal="center" vertical="center" wrapText="1"/>
      <protection/>
    </xf>
    <xf numFmtId="0" fontId="7" fillId="13" borderId="18" xfId="0" applyFont="1" applyFill="1" applyBorder="1" applyAlignment="1" applyProtection="1">
      <alignment horizontal="center" vertical="center" wrapText="1"/>
      <protection/>
    </xf>
    <xf numFmtId="0" fontId="7" fillId="2" borderId="2" xfId="0" applyFont="1" applyFill="1" applyBorder="1" applyAlignment="1" applyProtection="1">
      <alignment horizontal="center" vertical="center" wrapText="1"/>
      <protection/>
    </xf>
    <xf numFmtId="0" fontId="7" fillId="2" borderId="18" xfId="0" applyFont="1" applyFill="1" applyBorder="1" applyAlignment="1" applyProtection="1">
      <alignment horizontal="center" vertical="center" wrapText="1"/>
      <protection/>
    </xf>
    <xf numFmtId="0" fontId="7" fillId="14" borderId="2" xfId="0" applyFont="1" applyFill="1" applyBorder="1" applyAlignment="1" applyProtection="1">
      <alignment horizontal="center" vertical="center" wrapText="1"/>
      <protection/>
    </xf>
    <xf numFmtId="0" fontId="7" fillId="14" borderId="18" xfId="0" applyFont="1" applyFill="1" applyBorder="1" applyAlignment="1" applyProtection="1">
      <alignment horizontal="center" vertical="center" wrapText="1"/>
      <protection/>
    </xf>
    <xf numFmtId="0" fontId="7" fillId="15" borderId="2" xfId="0" applyFont="1" applyFill="1" applyBorder="1" applyAlignment="1" applyProtection="1">
      <alignment horizontal="center" vertical="center" wrapText="1"/>
      <protection/>
    </xf>
    <xf numFmtId="0" fontId="7" fillId="15" borderId="18" xfId="0" applyFont="1" applyFill="1" applyBorder="1" applyAlignment="1" applyProtection="1">
      <alignment horizontal="center" vertical="center" wrapText="1"/>
      <protection/>
    </xf>
    <xf numFmtId="0" fontId="7" fillId="11" borderId="2" xfId="0" applyFont="1" applyFill="1" applyBorder="1" applyAlignment="1" applyProtection="1">
      <alignment horizontal="center" vertical="center" wrapText="1"/>
      <protection/>
    </xf>
    <xf numFmtId="0" fontId="7" fillId="11" borderId="18" xfId="0" applyFont="1" applyFill="1" applyBorder="1" applyAlignment="1" applyProtection="1">
      <alignment horizontal="center" vertical="center" wrapText="1"/>
      <protection/>
    </xf>
    <xf numFmtId="0" fontId="7" fillId="12" borderId="2" xfId="0" applyFont="1" applyFill="1" applyBorder="1" applyAlignment="1" applyProtection="1">
      <alignment horizontal="center" vertical="center" wrapText="1"/>
      <protection/>
    </xf>
    <xf numFmtId="0" fontId="7" fillId="12" borderId="18" xfId="0" applyFont="1" applyFill="1" applyBorder="1" applyAlignment="1" applyProtection="1">
      <alignment horizontal="center" vertical="center" wrapText="1"/>
      <protection/>
    </xf>
    <xf numFmtId="0" fontId="9" fillId="0" borderId="2" xfId="20" applyFont="1" applyBorder="1" applyAlignment="1" applyProtection="1">
      <alignment horizontal="center" vertical="center" wrapText="1"/>
      <protection/>
    </xf>
    <xf numFmtId="0" fontId="9" fillId="2" borderId="5" xfId="20" applyFont="1" applyFill="1" applyBorder="1" applyAlignment="1" applyProtection="1">
      <alignment horizontal="center" wrapText="1"/>
      <protection/>
    </xf>
    <xf numFmtId="0" fontId="9" fillId="2" borderId="2" xfId="20" applyFont="1" applyFill="1" applyBorder="1" applyAlignment="1" applyProtection="1">
      <alignment horizontal="center" wrapText="1"/>
      <protection/>
    </xf>
    <xf numFmtId="0" fontId="9" fillId="15" borderId="5" xfId="20" applyFont="1" applyFill="1" applyBorder="1" applyAlignment="1" applyProtection="1">
      <alignment horizontal="center" wrapText="1"/>
      <protection/>
    </xf>
    <xf numFmtId="0" fontId="9" fillId="15" borderId="2" xfId="20" applyFont="1" applyFill="1" applyBorder="1" applyAlignment="1" applyProtection="1">
      <alignment horizontal="center" wrapText="1"/>
      <protection/>
    </xf>
    <xf numFmtId="0" fontId="9" fillId="13" borderId="5" xfId="20" applyFont="1" applyFill="1" applyBorder="1" applyAlignment="1" applyProtection="1">
      <alignment horizontal="center" wrapText="1"/>
      <protection/>
    </xf>
    <xf numFmtId="0" fontId="9" fillId="13" borderId="2" xfId="20" applyFont="1" applyFill="1" applyBorder="1" applyAlignment="1" applyProtection="1">
      <alignment horizontal="center" wrapText="1"/>
      <protection/>
    </xf>
    <xf numFmtId="0" fontId="0" fillId="0" borderId="0" xfId="0" applyFont="1" applyAlignment="1">
      <alignment horizontal="left" vertical="center" wrapText="1"/>
    </xf>
    <xf numFmtId="0" fontId="0" fillId="0" borderId="3" xfId="0" applyFont="1" applyBorder="1" applyAlignment="1">
      <alignment horizontal="left" vertical="center" wrapText="1"/>
    </xf>
    <xf numFmtId="0" fontId="0" fillId="0" borderId="33" xfId="0" applyFont="1" applyBorder="1" applyAlignment="1">
      <alignment horizontal="left"/>
    </xf>
    <xf numFmtId="0" fontId="0" fillId="0" borderId="0" xfId="0" applyFont="1" applyAlignment="1">
      <alignment horizontal="left"/>
    </xf>
    <xf numFmtId="0" fontId="7" fillId="18" borderId="2" xfId="0" applyFont="1" applyFill="1" applyBorder="1" applyAlignment="1">
      <alignment horizontal="center" vertical="center"/>
    </xf>
    <xf numFmtId="0" fontId="7" fillId="18" borderId="18" xfId="0" applyFont="1" applyFill="1" applyBorder="1" applyAlignment="1">
      <alignment horizontal="center" vertical="center"/>
    </xf>
    <xf numFmtId="0" fontId="7" fillId="19" borderId="2" xfId="0" applyFont="1" applyFill="1" applyBorder="1" applyAlignment="1">
      <alignment horizontal="center" vertical="center"/>
    </xf>
    <xf numFmtId="0" fontId="7" fillId="19" borderId="18"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8" xfId="0" applyFont="1" applyFill="1" applyBorder="1" applyAlignment="1">
      <alignment horizontal="center" vertical="center"/>
    </xf>
    <xf numFmtId="0" fontId="7" fillId="17" borderId="2" xfId="0" applyFont="1" applyFill="1" applyBorder="1" applyAlignment="1">
      <alignment horizontal="center" vertical="center"/>
    </xf>
    <xf numFmtId="0" fontId="7" fillId="17" borderId="18" xfId="0" applyFont="1" applyFill="1" applyBorder="1" applyAlignment="1">
      <alignment horizontal="center" vertical="center"/>
    </xf>
    <xf numFmtId="0" fontId="7" fillId="0" borderId="5" xfId="0" applyFont="1" applyBorder="1" applyAlignment="1">
      <alignment horizontal="center" vertical="center"/>
    </xf>
    <xf numFmtId="0" fontId="7" fillId="0" borderId="18" xfId="0" applyFont="1" applyBorder="1" applyAlignment="1">
      <alignment horizontal="center" vertical="center"/>
    </xf>
    <xf numFmtId="0" fontId="7" fillId="16" borderId="2" xfId="0" applyFont="1" applyFill="1" applyBorder="1" applyAlignment="1">
      <alignment horizontal="center" vertical="center"/>
    </xf>
    <xf numFmtId="0" fontId="7" fillId="16" borderId="18"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8" xfId="0" applyFont="1" applyFill="1" applyBorder="1" applyAlignment="1">
      <alignment horizontal="center" vertical="center"/>
    </xf>
    <xf numFmtId="0" fontId="7" fillId="14" borderId="2" xfId="0" applyFont="1" applyFill="1" applyBorder="1" applyAlignment="1">
      <alignment horizontal="center" vertical="center"/>
    </xf>
    <xf numFmtId="0" fontId="7" fillId="14" borderId="18" xfId="0" applyFont="1" applyFill="1" applyBorder="1" applyAlignment="1">
      <alignment horizontal="center" vertical="center"/>
    </xf>
    <xf numFmtId="0" fontId="7" fillId="15" borderId="2" xfId="0" applyFont="1" applyFill="1" applyBorder="1" applyAlignment="1">
      <alignment horizontal="center" vertical="center"/>
    </xf>
    <xf numFmtId="0" fontId="7" fillId="15" borderId="18" xfId="0" applyFont="1" applyFill="1" applyBorder="1" applyAlignment="1">
      <alignment horizontal="center" vertical="center"/>
    </xf>
    <xf numFmtId="0" fontId="7" fillId="13" borderId="2" xfId="0" applyFont="1" applyFill="1" applyBorder="1" applyAlignment="1">
      <alignment horizontal="center" vertical="center"/>
    </xf>
    <xf numFmtId="0" fontId="7" fillId="13" borderId="18" xfId="0" applyFont="1" applyFill="1" applyBorder="1" applyAlignment="1">
      <alignment horizontal="center" vertical="center"/>
    </xf>
    <xf numFmtId="0" fontId="7" fillId="12" borderId="2" xfId="0" applyFont="1" applyFill="1" applyBorder="1" applyAlignment="1">
      <alignment horizontal="center" vertical="center"/>
    </xf>
    <xf numFmtId="0" fontId="7" fillId="12" borderId="18" xfId="0" applyFont="1" applyFill="1" applyBorder="1" applyAlignment="1">
      <alignment horizontal="center" vertical="center"/>
    </xf>
    <xf numFmtId="0" fontId="7" fillId="11" borderId="2" xfId="0" applyFont="1" applyFill="1" applyBorder="1" applyAlignment="1">
      <alignment horizontal="center" vertical="center"/>
    </xf>
    <xf numFmtId="0" fontId="7" fillId="11" borderId="18" xfId="0" applyFont="1" applyFill="1" applyBorder="1" applyAlignment="1">
      <alignment horizontal="center" vertical="center"/>
    </xf>
    <xf numFmtId="0" fontId="9" fillId="0" borderId="5" xfId="20" applyFont="1" applyBorder="1" applyAlignment="1">
      <alignment horizontal="center" vertical="center"/>
    </xf>
    <xf numFmtId="0" fontId="9" fillId="0" borderId="18" xfId="20" applyFont="1" applyBorder="1" applyAlignment="1">
      <alignment horizontal="center" vertical="center"/>
    </xf>
    <xf numFmtId="0" fontId="7" fillId="0" borderId="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9" xfId="0" applyFont="1" applyBorder="1" applyAlignment="1">
      <alignment horizontal="right" vertical="center" wrapText="1"/>
    </xf>
    <xf numFmtId="0" fontId="7" fillId="0" borderId="20" xfId="0" applyFont="1" applyBorder="1" applyAlignment="1">
      <alignment horizontal="right" vertical="center" wrapText="1"/>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0" fillId="12" borderId="2" xfId="0" applyFont="1" applyFill="1" applyBorder="1" applyAlignment="1">
      <alignment horizontal="center" wrapText="1"/>
    </xf>
    <xf numFmtId="0" fontId="0" fillId="13" borderId="2" xfId="0" applyFont="1" applyFill="1" applyBorder="1" applyAlignment="1">
      <alignment horizontal="center" wrapText="1"/>
    </xf>
    <xf numFmtId="0" fontId="9" fillId="0" borderId="3" xfId="20" applyFont="1" applyBorder="1" applyAlignment="1">
      <alignment horizontal="center" vertical="center" wrapText="1"/>
    </xf>
    <xf numFmtId="0" fontId="9" fillId="0" borderId="24" xfId="20" applyFont="1" applyBorder="1" applyAlignment="1">
      <alignment horizontal="center" vertical="center" wrapText="1"/>
    </xf>
    <xf numFmtId="0" fontId="9" fillId="0" borderId="2" xfId="20" applyFont="1" applyBorder="1" applyAlignment="1">
      <alignment horizontal="center" vertical="center" wrapText="1"/>
    </xf>
    <xf numFmtId="0" fontId="9" fillId="0" borderId="18" xfId="20" applyFont="1" applyBorder="1" applyAlignment="1">
      <alignment horizontal="center" vertical="center" wrapText="1"/>
    </xf>
    <xf numFmtId="0" fontId="0" fillId="18" borderId="2" xfId="0" applyFont="1" applyFill="1" applyBorder="1" applyAlignment="1">
      <alignment horizontal="center" wrapText="1"/>
    </xf>
    <xf numFmtId="0" fontId="7" fillId="0" borderId="13" xfId="0" applyFont="1" applyBorder="1" applyAlignment="1">
      <alignment horizontal="center" vertical="center"/>
    </xf>
    <xf numFmtId="0" fontId="7" fillId="0" borderId="3" xfId="0" applyFont="1" applyBorder="1" applyAlignment="1">
      <alignment horizontal="center" vertical="center"/>
    </xf>
    <xf numFmtId="0" fontId="7" fillId="0" borderId="36"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33" xfId="0" applyFont="1" applyBorder="1" applyAlignment="1">
      <alignment horizontal="center" vertical="center"/>
    </xf>
    <xf numFmtId="0" fontId="0" fillId="17" borderId="2" xfId="0" applyFont="1" applyFill="1" applyBorder="1" applyAlignment="1">
      <alignment horizontal="center" wrapText="1"/>
    </xf>
    <xf numFmtId="0" fontId="0" fillId="16" borderId="2" xfId="0" applyFont="1" applyFill="1" applyBorder="1" applyAlignment="1">
      <alignment horizontal="center" wrapText="1"/>
    </xf>
    <xf numFmtId="0" fontId="7" fillId="0" borderId="5" xfId="0" applyFont="1" applyBorder="1" applyAlignment="1">
      <alignment horizontal="center" vertical="center" wrapText="1"/>
    </xf>
    <xf numFmtId="0" fontId="0" fillId="0" borderId="5" xfId="0" applyFont="1" applyBorder="1" applyAlignment="1">
      <alignment horizontal="center" wrapText="1"/>
    </xf>
    <xf numFmtId="0" fontId="0" fillId="0" borderId="2" xfId="0" applyFont="1" applyBorder="1" applyAlignment="1">
      <alignment horizontal="center" wrapText="1"/>
    </xf>
    <xf numFmtId="0" fontId="0" fillId="11" borderId="2" xfId="0" applyFont="1" applyFill="1" applyBorder="1" applyAlignment="1">
      <alignment horizont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5" fillId="2" borderId="19" xfId="20" applyFont="1" applyFill="1" applyBorder="1" applyAlignment="1">
      <alignment horizontal="left"/>
    </xf>
    <xf numFmtId="0" fontId="5" fillId="2" borderId="14" xfId="20" applyFont="1" applyFill="1" applyBorder="1" applyAlignment="1">
      <alignment horizontal="left"/>
    </xf>
    <xf numFmtId="0" fontId="5" fillId="2" borderId="17" xfId="20" applyFont="1" applyFill="1" applyBorder="1" applyAlignment="1">
      <alignment horizontal="left"/>
    </xf>
    <xf numFmtId="0" fontId="5" fillId="14" borderId="5" xfId="20" applyFont="1" applyFill="1" applyBorder="1" applyAlignment="1">
      <alignment horizontal="center" wrapText="1"/>
    </xf>
    <xf numFmtId="0" fontId="5" fillId="14" borderId="2" xfId="20" applyFont="1" applyFill="1" applyBorder="1" applyAlignment="1">
      <alignment horizontal="center" wrapText="1"/>
    </xf>
    <xf numFmtId="0" fontId="5" fillId="15" borderId="5" xfId="20" applyFont="1" applyFill="1" applyBorder="1" applyAlignment="1">
      <alignment horizontal="center" wrapText="1"/>
    </xf>
    <xf numFmtId="0" fontId="5" fillId="15" borderId="2" xfId="20" applyFont="1" applyFill="1" applyBorder="1" applyAlignment="1">
      <alignment horizontal="center" wrapText="1"/>
    </xf>
    <xf numFmtId="0" fontId="5" fillId="16" borderId="19" xfId="20" applyFont="1" applyFill="1" applyBorder="1" applyAlignment="1">
      <alignment horizontal="left"/>
    </xf>
    <xf numFmtId="0" fontId="5" fillId="16" borderId="14" xfId="20" applyFont="1" applyFill="1" applyBorder="1" applyAlignment="1">
      <alignment horizontal="left"/>
    </xf>
    <xf numFmtId="0" fontId="5" fillId="16" borderId="17" xfId="20" applyFont="1" applyFill="1" applyBorder="1" applyAlignment="1">
      <alignment horizontal="left"/>
    </xf>
    <xf numFmtId="0" fontId="0" fillId="2" borderId="2" xfId="0" applyFont="1" applyFill="1" applyBorder="1" applyAlignment="1">
      <alignment horizontal="center" wrapText="1"/>
    </xf>
    <xf numFmtId="0" fontId="0" fillId="0" borderId="36" xfId="0" applyFont="1" applyBorder="1" applyAlignment="1">
      <alignment horizontal="left"/>
    </xf>
    <xf numFmtId="0" fontId="0" fillId="0" borderId="24" xfId="0" applyFont="1" applyBorder="1" applyAlignment="1">
      <alignment horizontal="left"/>
    </xf>
    <xf numFmtId="0" fontId="5" fillId="11" borderId="16" xfId="20" applyFont="1" applyFill="1" applyBorder="1" applyAlignment="1">
      <alignment horizontal="left"/>
    </xf>
    <xf numFmtId="0" fontId="5" fillId="11" borderId="25" xfId="20" applyFont="1" applyFill="1" applyBorder="1" applyAlignment="1">
      <alignment horizontal="left"/>
    </xf>
    <xf numFmtId="0" fontId="5" fillId="11" borderId="17" xfId="20" applyFont="1" applyFill="1" applyBorder="1" applyAlignment="1">
      <alignment horizontal="left"/>
    </xf>
    <xf numFmtId="0" fontId="5" fillId="12" borderId="19" xfId="20" applyFont="1" applyFill="1" applyBorder="1" applyAlignment="1">
      <alignment horizontal="left"/>
    </xf>
    <xf numFmtId="0" fontId="5" fillId="12" borderId="14" xfId="20" applyFont="1" applyFill="1" applyBorder="1" applyAlignment="1">
      <alignment horizontal="left"/>
    </xf>
    <xf numFmtId="0" fontId="5" fillId="12" borderId="17" xfId="20" applyFont="1" applyFill="1" applyBorder="1" applyAlignment="1">
      <alignment horizontal="left"/>
    </xf>
    <xf numFmtId="0" fontId="0" fillId="13" borderId="19" xfId="0" applyFont="1" applyFill="1" applyBorder="1" applyAlignment="1">
      <alignment horizontal="left"/>
    </xf>
    <xf numFmtId="0" fontId="0" fillId="13" borderId="17" xfId="0" applyFont="1" applyFill="1" applyBorder="1" applyAlignment="1">
      <alignment horizontal="left"/>
    </xf>
    <xf numFmtId="0" fontId="17" fillId="2" borderId="0" xfId="0" applyFont="1" applyFill="1" applyAlignment="1">
      <alignment horizontal="center" vertical="center" textRotation="90" wrapText="1"/>
    </xf>
    <xf numFmtId="0" fontId="5" fillId="17" borderId="19" xfId="20" applyFont="1" applyFill="1" applyBorder="1" applyAlignment="1">
      <alignment horizontal="left"/>
    </xf>
    <xf numFmtId="0" fontId="5" fillId="17" borderId="14" xfId="20" applyFont="1" applyFill="1" applyBorder="1" applyAlignment="1">
      <alignment horizontal="left"/>
    </xf>
    <xf numFmtId="0" fontId="5" fillId="17" borderId="17" xfId="20" applyFont="1" applyFill="1" applyBorder="1" applyAlignment="1">
      <alignment horizontal="left"/>
    </xf>
    <xf numFmtId="0" fontId="5" fillId="18" borderId="19" xfId="20" applyFont="1" applyFill="1" applyBorder="1" applyAlignment="1">
      <alignment horizontal="left"/>
    </xf>
    <xf numFmtId="0" fontId="5" fillId="18" borderId="14" xfId="20" applyFont="1" applyFill="1" applyBorder="1" applyAlignment="1">
      <alignment horizontal="left"/>
    </xf>
    <xf numFmtId="0" fontId="5" fillId="18" borderId="17" xfId="20" applyFont="1" applyFill="1" applyBorder="1" applyAlignment="1">
      <alignment horizontal="left"/>
    </xf>
    <xf numFmtId="0" fontId="0" fillId="19" borderId="5" xfId="0" applyFont="1" applyFill="1" applyBorder="1" applyAlignment="1">
      <alignment horizontal="center" wrapText="1"/>
    </xf>
    <xf numFmtId="0" fontId="0" fillId="19" borderId="2" xfId="0" applyFont="1" applyFill="1" applyBorder="1" applyAlignment="1">
      <alignment horizontal="center" wrapText="1"/>
    </xf>
    <xf numFmtId="0" fontId="5" fillId="0" borderId="5" xfId="20" applyFont="1" applyFill="1" applyBorder="1" applyAlignment="1">
      <alignment horizontal="center" wrapText="1"/>
    </xf>
    <xf numFmtId="0" fontId="5" fillId="0" borderId="2" xfId="20" applyFont="1" applyFill="1" applyBorder="1" applyAlignment="1">
      <alignment horizontal="center" wrapText="1"/>
    </xf>
    <xf numFmtId="0" fontId="0" fillId="0" borderId="0" xfId="0" applyFont="1" applyAlignment="1">
      <alignment horizontal="left" vertical="center"/>
    </xf>
    <xf numFmtId="0" fontId="0" fillId="0" borderId="61" xfId="0" applyFont="1" applyBorder="1" applyAlignment="1">
      <alignment horizontal="left" vertical="center"/>
    </xf>
    <xf numFmtId="0" fontId="7" fillId="0" borderId="5" xfId="0" applyNumberFormat="1" applyFont="1" applyBorder="1" applyAlignment="1">
      <alignment horizontal="center" vertical="center"/>
    </xf>
    <xf numFmtId="0" fontId="7" fillId="0" borderId="18" xfId="0" applyNumberFormat="1" applyFont="1" applyBorder="1" applyAlignment="1">
      <alignment horizontal="center" vertical="center"/>
    </xf>
    <xf numFmtId="0" fontId="7" fillId="0" borderId="2" xfId="0" applyFont="1" applyBorder="1" applyAlignment="1">
      <alignment horizontal="center" vertical="center"/>
    </xf>
    <xf numFmtId="2" fontId="7" fillId="0" borderId="5" xfId="0" applyNumberFormat="1" applyFont="1" applyBorder="1" applyAlignment="1">
      <alignment horizontal="center" vertical="center" wrapText="1"/>
    </xf>
    <xf numFmtId="0" fontId="5" fillId="11" borderId="13" xfId="20" applyFont="1" applyFill="1" applyBorder="1" applyAlignment="1">
      <alignment horizontal="left"/>
    </xf>
    <xf numFmtId="0" fontId="28" fillId="0" borderId="19" xfId="20" applyFont="1" applyBorder="1" applyAlignment="1">
      <alignment horizontal="left" vertical="center" wrapText="1"/>
    </xf>
    <xf numFmtId="0" fontId="28" fillId="0" borderId="14" xfId="20" applyFont="1" applyBorder="1" applyAlignment="1">
      <alignment horizontal="left" vertical="center" wrapText="1"/>
    </xf>
    <xf numFmtId="0" fontId="28" fillId="0" borderId="20" xfId="20" applyFont="1" applyBorder="1" applyAlignment="1">
      <alignment horizontal="left" vertical="center" wrapText="1"/>
    </xf>
    <xf numFmtId="0" fontId="3" fillId="0" borderId="25" xfId="0" applyFont="1" applyBorder="1" applyAlignment="1">
      <alignment vertical="top" wrapText="1"/>
    </xf>
    <xf numFmtId="0" fontId="19" fillId="0" borderId="0" xfId="0" applyFont="1" applyBorder="1" applyAlignment="1">
      <alignment vertical="top" wrapText="1"/>
    </xf>
    <xf numFmtId="0" fontId="2" fillId="0" borderId="37" xfId="0" applyFont="1" applyBorder="1" applyAlignment="1">
      <alignment horizontal="center" vertical="center"/>
    </xf>
    <xf numFmtId="0" fontId="2" fillId="0" borderId="12" xfId="0" applyFont="1" applyBorder="1" applyAlignment="1">
      <alignment horizontal="center" vertical="center"/>
    </xf>
    <xf numFmtId="0" fontId="2" fillId="0" borderId="38" xfId="0" applyFont="1" applyBorder="1" applyAlignment="1">
      <alignment horizontal="center" vertical="center"/>
    </xf>
    <xf numFmtId="0" fontId="0" fillId="0" borderId="1" xfId="0" applyBorder="1" applyAlignment="1">
      <alignment horizontal="left" wrapText="1"/>
    </xf>
    <xf numFmtId="0" fontId="3" fillId="0" borderId="0" xfId="0" applyFont="1" applyBorder="1" applyAlignment="1">
      <alignment vertical="top" wrapText="1"/>
    </xf>
    <xf numFmtId="0" fontId="19" fillId="0" borderId="33" xfId="0" applyFont="1" applyBorder="1" applyAlignment="1">
      <alignment vertical="top" wrapText="1"/>
    </xf>
    <xf numFmtId="0" fontId="3" fillId="0" borderId="19" xfId="0" applyFont="1" applyBorder="1" applyAlignment="1">
      <alignment horizontal="center" vertical="top" wrapText="1"/>
    </xf>
    <xf numFmtId="0" fontId="3" fillId="0" borderId="14" xfId="0" applyFont="1" applyBorder="1" applyAlignment="1">
      <alignment horizontal="center" vertical="top" wrapText="1"/>
    </xf>
    <xf numFmtId="0" fontId="0" fillId="0" borderId="1" xfId="0" applyBorder="1" applyAlignment="1">
      <alignment/>
    </xf>
    <xf numFmtId="0" fontId="4" fillId="0" borderId="19" xfId="20" applyBorder="1" applyAlignment="1">
      <alignment horizontal="left" vertical="center" wrapText="1"/>
    </xf>
    <xf numFmtId="0" fontId="4" fillId="0" borderId="14" xfId="20" applyBorder="1" applyAlignment="1">
      <alignment horizontal="left" vertical="center" wrapText="1"/>
    </xf>
    <xf numFmtId="0" fontId="4" fillId="0" borderId="20" xfId="20" applyBorder="1" applyAlignment="1">
      <alignment horizontal="left" vertical="center" wrapText="1"/>
    </xf>
    <xf numFmtId="0" fontId="0" fillId="0" borderId="0" xfId="0" applyBorder="1" applyAlignment="1">
      <alignment vertical="top" wrapText="1"/>
    </xf>
    <xf numFmtId="0" fontId="18" fillId="0" borderId="33" xfId="0" applyFont="1" applyBorder="1" applyAlignment="1">
      <alignment vertical="top" wrapText="1"/>
    </xf>
    <xf numFmtId="0" fontId="3" fillId="0" borderId="0" xfId="0" applyFont="1" applyAlignment="1">
      <alignment horizontal="right" vertical="top" wrapText="1"/>
    </xf>
    <xf numFmtId="0" fontId="3" fillId="0" borderId="3" xfId="0" applyFont="1" applyBorder="1" applyAlignment="1">
      <alignment horizontal="right" vertical="top" wrapText="1"/>
    </xf>
    <xf numFmtId="0" fontId="18" fillId="0" borderId="0" xfId="0" applyFont="1" applyAlignment="1">
      <alignment horizontal="center" vertical="top" wrapText="1"/>
    </xf>
    <xf numFmtId="0" fontId="18" fillId="0" borderId="3" xfId="0" applyFont="1" applyBorder="1" applyAlignment="1">
      <alignment horizontal="center" vertical="top" wrapText="1"/>
    </xf>
    <xf numFmtId="0" fontId="30" fillId="0" borderId="37" xfId="20" applyFont="1" applyBorder="1" applyAlignment="1">
      <alignment horizontal="left" vertical="center" wrapText="1"/>
    </xf>
    <xf numFmtId="0" fontId="30" fillId="0" borderId="12" xfId="20" applyFont="1" applyBorder="1" applyAlignment="1">
      <alignment horizontal="left" vertical="center" wrapText="1"/>
    </xf>
    <xf numFmtId="0" fontId="30" fillId="0" borderId="38" xfId="20" applyFont="1" applyBorder="1" applyAlignment="1">
      <alignment horizontal="left" vertical="center" wrapText="1"/>
    </xf>
    <xf numFmtId="0" fontId="28" fillId="0" borderId="19" xfId="20" applyFont="1" applyBorder="1" applyAlignment="1">
      <alignment vertical="center" wrapText="1"/>
    </xf>
    <xf numFmtId="0" fontId="28" fillId="0" borderId="14" xfId="20" applyFont="1" applyBorder="1" applyAlignment="1">
      <alignment vertical="center"/>
    </xf>
    <xf numFmtId="0" fontId="28" fillId="0" borderId="20" xfId="20" applyFont="1" applyBorder="1" applyAlignment="1">
      <alignment vertical="center"/>
    </xf>
    <xf numFmtId="0" fontId="18" fillId="0" borderId="0" xfId="0" applyFont="1" applyBorder="1" applyAlignment="1">
      <alignment vertical="top" wrapText="1"/>
    </xf>
    <xf numFmtId="0" fontId="5" fillId="0" borderId="19" xfId="20" applyFont="1" applyBorder="1" applyAlignment="1">
      <alignment horizontal="left" vertical="center" wrapText="1"/>
    </xf>
    <xf numFmtId="0" fontId="5" fillId="0" borderId="14" xfId="20" applyFont="1" applyBorder="1" applyAlignment="1">
      <alignment horizontal="left" vertical="center" wrapText="1"/>
    </xf>
    <xf numFmtId="0" fontId="5" fillId="0" borderId="20" xfId="20" applyFont="1" applyBorder="1" applyAlignment="1">
      <alignment horizontal="left" vertical="center" wrapText="1"/>
    </xf>
    <xf numFmtId="0" fontId="4" fillId="0" borderId="19" xfId="20" applyBorder="1" applyAlignment="1">
      <alignment vertical="top" wrapText="1"/>
    </xf>
    <xf numFmtId="0" fontId="4" fillId="0" borderId="14" xfId="20" applyBorder="1" applyAlignment="1">
      <alignment/>
    </xf>
    <xf numFmtId="0" fontId="4" fillId="0" borderId="20" xfId="20" applyBorder="1" applyAlignment="1">
      <alignment/>
    </xf>
    <xf numFmtId="0" fontId="20" fillId="0" borderId="37" xfId="20" applyFont="1" applyBorder="1" applyAlignment="1">
      <alignment horizontal="left" vertical="center"/>
    </xf>
    <xf numFmtId="0" fontId="20" fillId="0" borderId="12" xfId="20" applyFont="1" applyBorder="1" applyAlignment="1">
      <alignment horizontal="left" vertical="center"/>
    </xf>
    <xf numFmtId="0" fontId="20" fillId="0" borderId="38" xfId="20" applyFont="1" applyBorder="1" applyAlignment="1">
      <alignment horizontal="left" vertical="center"/>
    </xf>
    <xf numFmtId="0" fontId="7" fillId="0" borderId="0" xfId="0" applyFont="1" applyBorder="1" applyAlignment="1">
      <alignment horizontal="left" vertical="center" wrapText="1"/>
    </xf>
    <xf numFmtId="0" fontId="7" fillId="0" borderId="3" xfId="0" applyFont="1" applyBorder="1" applyAlignment="1">
      <alignment horizontal="left" vertical="center" wrapText="1"/>
    </xf>
    <xf numFmtId="0" fontId="22" fillId="0" borderId="0" xfId="0" applyFont="1" applyAlignment="1">
      <alignment horizontal="left" vertical="top" wrapText="1"/>
    </xf>
    <xf numFmtId="0" fontId="3" fillId="0" borderId="0" xfId="0" applyFont="1" applyAlignment="1">
      <alignment horizontal="left" vertical="top" wrapText="1"/>
    </xf>
    <xf numFmtId="0" fontId="3" fillId="0" borderId="3" xfId="0" applyFont="1" applyBorder="1" applyAlignment="1">
      <alignment horizontal="left" vertical="top" wrapText="1"/>
    </xf>
    <xf numFmtId="0" fontId="22" fillId="0" borderId="0" xfId="0" applyFont="1" applyBorder="1" applyAlignment="1">
      <alignment vertical="top" wrapText="1"/>
    </xf>
    <xf numFmtId="0" fontId="22" fillId="0" borderId="0" xfId="0" applyFont="1" applyAlignment="1">
      <alignment vertical="top" wrapText="1"/>
    </xf>
    <xf numFmtId="0" fontId="0" fillId="0" borderId="1" xfId="0" applyBorder="1" applyAlignment="1">
      <alignment horizontal="left"/>
    </xf>
    <xf numFmtId="0" fontId="18" fillId="0" borderId="0" xfId="0" applyFont="1" applyAlignment="1">
      <alignment horizontal="right" vertical="top" wrapText="1"/>
    </xf>
    <xf numFmtId="0" fontId="18" fillId="0" borderId="3" xfId="0" applyFont="1" applyBorder="1" applyAlignment="1">
      <alignment horizontal="right" vertical="top" wrapText="1"/>
    </xf>
    <xf numFmtId="0" fontId="20" fillId="0" borderId="37" xfId="20" applyFont="1" applyBorder="1" applyAlignment="1">
      <alignment horizontal="center" vertical="center"/>
    </xf>
    <xf numFmtId="0" fontId="20" fillId="0" borderId="12" xfId="20" applyFont="1" applyBorder="1" applyAlignment="1">
      <alignment horizontal="center" vertical="center"/>
    </xf>
    <xf numFmtId="0" fontId="20" fillId="0" borderId="38" xfId="20" applyFont="1" applyBorder="1" applyAlignment="1">
      <alignment horizontal="center" vertical="center"/>
    </xf>
    <xf numFmtId="0" fontId="7" fillId="0" borderId="0" xfId="21" applyFont="1" applyAlignment="1">
      <alignment horizontal="left" vertical="top" wrapText="1"/>
      <protection/>
    </xf>
    <xf numFmtId="0" fontId="7" fillId="0" borderId="3" xfId="21" applyFont="1" applyBorder="1" applyAlignment="1">
      <alignment horizontal="left" vertical="top" wrapText="1"/>
      <protection/>
    </xf>
    <xf numFmtId="0" fontId="4" fillId="0" borderId="19" xfId="20" applyBorder="1" applyAlignment="1">
      <alignment horizontal="left" vertical="top" wrapText="1"/>
    </xf>
    <xf numFmtId="0" fontId="4" fillId="0" borderId="14" xfId="20" applyBorder="1" applyAlignment="1">
      <alignment horizontal="left" vertical="top" wrapText="1"/>
    </xf>
    <xf numFmtId="0" fontId="4" fillId="0" borderId="20" xfId="20" applyBorder="1" applyAlignment="1">
      <alignment horizontal="left" vertical="top" wrapText="1"/>
    </xf>
    <xf numFmtId="0" fontId="0" fillId="0" borderId="0" xfId="0" applyBorder="1" applyAlignment="1">
      <alignment horizontal="right" vertical="center"/>
    </xf>
    <xf numFmtId="0" fontId="0" fillId="0" borderId="0" xfId="0" applyAlignment="1">
      <alignment horizontal="center" vertical="center"/>
    </xf>
    <xf numFmtId="0" fontId="19" fillId="0" borderId="62" xfId="0" applyFont="1" applyBorder="1" applyAlignment="1">
      <alignment horizontal="center" vertical="top" wrapText="1"/>
    </xf>
    <xf numFmtId="0" fontId="0" fillId="0" borderId="62" xfId="0" applyBorder="1" applyAlignment="1">
      <alignment horizontal="center" vertical="top" wrapText="1"/>
    </xf>
    <xf numFmtId="0" fontId="19" fillId="0" borderId="35" xfId="0" applyFont="1" applyBorder="1" applyAlignment="1">
      <alignment horizontal="center" vertical="top" wrapText="1"/>
    </xf>
    <xf numFmtId="0" fontId="0" fillId="0" borderId="35" xfId="0" applyBorder="1" applyAlignment="1">
      <alignment horizontal="center" vertical="top" wrapText="1"/>
    </xf>
    <xf numFmtId="0" fontId="19" fillId="0" borderId="0" xfId="0" applyFont="1" applyBorder="1" applyAlignment="1">
      <alignment horizontal="left" vertical="center" wrapText="1"/>
    </xf>
    <xf numFmtId="0" fontId="19" fillId="0" borderId="0" xfId="0" applyFont="1" applyBorder="1" applyAlignment="1">
      <alignment horizontal="center" vertical="top" wrapText="1"/>
    </xf>
    <xf numFmtId="0" fontId="0" fillId="0" borderId="0" xfId="0" applyBorder="1" applyAlignment="1">
      <alignment horizontal="center" vertical="top" wrapText="1"/>
    </xf>
    <xf numFmtId="0" fontId="0" fillId="0" borderId="0" xfId="0" applyAlignment="1">
      <alignment horizontal="center" vertical="top" wrapText="1"/>
    </xf>
    <xf numFmtId="0" fontId="4" fillId="0" borderId="1" xfId="20" applyBorder="1" applyAlignment="1">
      <alignment horizontal="center" vertical="center" wrapText="1"/>
    </xf>
    <xf numFmtId="0" fontId="22" fillId="0" borderId="19" xfId="0" applyFont="1" applyBorder="1" applyAlignment="1">
      <alignment horizontal="center" vertical="center" wrapText="1"/>
    </xf>
    <xf numFmtId="0" fontId="0" fillId="0" borderId="20" xfId="0" applyBorder="1" applyAlignment="1">
      <alignment horizontal="center" vertical="center" wrapText="1"/>
    </xf>
    <xf numFmtId="0" fontId="5" fillId="0" borderId="14" xfId="20" applyFont="1" applyBorder="1" applyAlignment="1">
      <alignment horizontal="center" vertical="center" wrapText="1"/>
    </xf>
    <xf numFmtId="0" fontId="5" fillId="0" borderId="20" xfId="20" applyFont="1" applyBorder="1" applyAlignment="1">
      <alignment horizontal="center" vertical="center" wrapText="1"/>
    </xf>
    <xf numFmtId="0" fontId="22" fillId="0" borderId="0" xfId="0" applyFont="1" applyAlignment="1">
      <alignment horizontal="right" vertical="center" wrapText="1"/>
    </xf>
    <xf numFmtId="0" fontId="22" fillId="0" borderId="0" xfId="0" applyFont="1" applyFill="1" applyBorder="1" applyAlignment="1">
      <alignment horizontal="right" vertical="center" wrapText="1"/>
    </xf>
    <xf numFmtId="0" fontId="0" fillId="0" borderId="19" xfId="0" applyBorder="1" applyAlignment="1">
      <alignment horizontal="left" wrapText="1"/>
    </xf>
    <xf numFmtId="0" fontId="0" fillId="0" borderId="14" xfId="0" applyBorder="1" applyAlignment="1">
      <alignment horizontal="left" wrapText="1"/>
    </xf>
    <xf numFmtId="0" fontId="0" fillId="0" borderId="20" xfId="0" applyBorder="1" applyAlignment="1">
      <alignment horizontal="left" wrapText="1"/>
    </xf>
    <xf numFmtId="0" fontId="21" fillId="0" borderId="19" xfId="0" applyFont="1" applyBorder="1" applyAlignment="1">
      <alignment horizontal="center" vertical="top" wrapText="1"/>
    </xf>
    <xf numFmtId="0" fontId="21" fillId="0" borderId="14" xfId="0" applyFont="1" applyBorder="1" applyAlignment="1">
      <alignment horizontal="center" vertical="top" wrapText="1"/>
    </xf>
    <xf numFmtId="0" fontId="21" fillId="0" borderId="20" xfId="0" applyFont="1" applyBorder="1" applyAlignment="1">
      <alignment horizontal="center" vertical="top" wrapText="1"/>
    </xf>
    <xf numFmtId="0" fontId="11" fillId="0" borderId="0" xfId="0" applyFont="1" applyAlignment="1">
      <alignment vertical="top" wrapText="1"/>
    </xf>
    <xf numFmtId="0" fontId="3" fillId="0" borderId="0" xfId="0" applyFont="1" applyAlignment="1">
      <alignment/>
    </xf>
    <xf numFmtId="0" fontId="0" fillId="0" borderId="37" xfId="0"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6" xfId="0" applyFont="1" applyBorder="1" applyAlignment="1" applyProtection="1">
      <alignment horizontal="left" vertical="center"/>
      <protection/>
    </xf>
    <xf numFmtId="0" fontId="34" fillId="21" borderId="0" xfId="0" applyFont="1" applyFill="1" applyAlignment="1" applyProtection="1">
      <alignment horizontal="center" vertical="center"/>
      <protection/>
    </xf>
    <xf numFmtId="0" fontId="0" fillId="0" borderId="6" xfId="0" applyFont="1" applyBorder="1" applyAlignment="1" applyProtection="1">
      <alignment horizontal="left"/>
      <protection locked="0"/>
    </xf>
    <xf numFmtId="49" fontId="0" fillId="0" borderId="6" xfId="0" applyNumberFormat="1" applyFont="1" applyBorder="1" applyAlignment="1" applyProtection="1">
      <alignment horizontal="left"/>
      <protection locked="0"/>
    </xf>
    <xf numFmtId="166" fontId="9" fillId="4" borderId="0" xfId="20" applyNumberFormat="1" applyFont="1" applyFill="1" applyAlignment="1" applyProtection="1">
      <alignment horizontal="left" vertical="top" wrapText="1"/>
      <protection/>
    </xf>
    <xf numFmtId="0" fontId="9" fillId="4" borderId="0" xfId="20" applyFont="1" applyFill="1" applyAlignment="1" applyProtection="1">
      <alignment horizontal="left" vertical="top" wrapText="1"/>
      <protection/>
    </xf>
    <xf numFmtId="0" fontId="7" fillId="0" borderId="0" xfId="0" applyFont="1" applyAlignment="1" applyProtection="1">
      <alignment horizontal="left" vertical="top" wrapText="1"/>
      <protection/>
    </xf>
    <xf numFmtId="0" fontId="9" fillId="0" borderId="0" xfId="20" applyFont="1" applyAlignment="1" applyProtection="1">
      <alignment horizontal="left"/>
      <protection/>
    </xf>
    <xf numFmtId="0" fontId="7" fillId="0" borderId="0" xfId="0" applyFont="1" applyAlignment="1" applyProtection="1">
      <alignment horizontal="left"/>
      <protection/>
    </xf>
    <xf numFmtId="166" fontId="9" fillId="4" borderId="0" xfId="20" applyNumberFormat="1" applyFont="1" applyFill="1" applyAlignment="1" applyProtection="1">
      <alignment horizontal="left" vertical="top"/>
      <protection/>
    </xf>
    <xf numFmtId="0" fontId="9" fillId="4" borderId="0" xfId="20" applyFont="1" applyFill="1" applyAlignment="1" applyProtection="1">
      <alignment horizontal="left" vertical="top"/>
      <protection/>
    </xf>
    <xf numFmtId="0" fontId="35" fillId="4" borderId="0" xfId="20" applyFont="1" applyFill="1" applyAlignment="1" applyProtection="1">
      <alignment horizontal="left" vertical="top"/>
      <protection/>
    </xf>
    <xf numFmtId="0" fontId="9" fillId="4" borderId="0" xfId="20" applyFont="1" applyFill="1" applyAlignment="1" applyProtection="1">
      <alignment horizontal="left" vertical="top"/>
      <protection/>
    </xf>
    <xf numFmtId="0" fontId="35" fillId="4" borderId="0" xfId="20" applyFont="1" applyFill="1" applyAlignment="1" applyProtection="1">
      <alignment horizontal="left" vertical="top"/>
      <protection/>
    </xf>
    <xf numFmtId="0" fontId="9" fillId="4" borderId="0" xfId="20" applyFont="1" applyFill="1" applyAlignment="1" applyProtection="1">
      <alignment horizontal="left" vertical="center" wrapText="1"/>
      <protection/>
    </xf>
    <xf numFmtId="0" fontId="9" fillId="0" borderId="0" xfId="20" applyFont="1" applyAlignment="1" applyProtection="1">
      <alignment horizontal="left" vertical="top"/>
      <protection/>
    </xf>
    <xf numFmtId="0" fontId="9" fillId="4" borderId="0" xfId="20" applyFont="1" applyFill="1" applyBorder="1" applyAlignment="1" applyProtection="1">
      <alignment horizontal="left" vertical="top"/>
      <protection/>
    </xf>
    <xf numFmtId="0" fontId="6" fillId="0" borderId="1" xfId="0" applyFont="1" applyBorder="1" applyAlignment="1" applyProtection="1">
      <alignment horizontal="left"/>
      <protection/>
    </xf>
    <xf numFmtId="0" fontId="0" fillId="9" borderId="1" xfId="0" applyFont="1" applyFill="1" applyBorder="1" applyAlignment="1" applyProtection="1">
      <alignment horizontal="left"/>
      <protection/>
    </xf>
    <xf numFmtId="0" fontId="6" fillId="0" borderId="1" xfId="0" applyFont="1" applyBorder="1" applyAlignment="1" applyProtection="1">
      <alignment horizontal="left" vertical="center"/>
      <protection/>
    </xf>
    <xf numFmtId="0" fontId="0" fillId="9" borderId="1" xfId="0" applyFont="1" applyFill="1" applyBorder="1" applyAlignment="1" applyProtection="1">
      <alignment horizontal="left" vertical="center"/>
      <protection/>
    </xf>
    <xf numFmtId="0" fontId="7" fillId="0" borderId="16" xfId="0" applyFont="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7" fillId="0" borderId="36" xfId="0" applyFont="1" applyBorder="1" applyAlignment="1" applyProtection="1">
      <alignment horizontal="center" vertical="center" wrapText="1"/>
      <protection/>
    </xf>
    <xf numFmtId="0" fontId="7" fillId="0" borderId="33" xfId="0" applyFont="1" applyBorder="1" applyAlignment="1" applyProtection="1">
      <alignment horizontal="center" vertical="center" wrapText="1"/>
      <protection/>
    </xf>
    <xf numFmtId="0" fontId="7" fillId="0" borderId="24" xfId="0" applyFont="1" applyBorder="1" applyAlignment="1" applyProtection="1">
      <alignment horizontal="center" vertical="center" wrapText="1"/>
      <protection/>
    </xf>
    <xf numFmtId="0" fontId="0" fillId="0" borderId="1" xfId="0" applyFont="1" applyBorder="1" applyAlignment="1" applyProtection="1">
      <alignment horizontal="left" vertical="center"/>
      <protection/>
    </xf>
    <xf numFmtId="0" fontId="0" fillId="0" borderId="1" xfId="0" applyFont="1" applyBorder="1" applyAlignment="1" applyProtection="1">
      <alignment horizontal="center" vertical="center"/>
      <protection/>
    </xf>
    <xf numFmtId="0" fontId="0" fillId="0" borderId="19" xfId="0" applyFont="1" applyBorder="1" applyAlignment="1" applyProtection="1">
      <alignment horizontal="left" vertical="center"/>
      <protection/>
    </xf>
    <xf numFmtId="0" fontId="0" fillId="0" borderId="14" xfId="0" applyFont="1" applyBorder="1" applyAlignment="1" applyProtection="1">
      <alignment horizontal="left" vertical="center"/>
      <protection/>
    </xf>
    <xf numFmtId="0" fontId="0" fillId="0" borderId="20" xfId="0" applyFont="1" applyBorder="1" applyAlignment="1" applyProtection="1">
      <alignment horizontal="left" vertical="center"/>
      <protection/>
    </xf>
    <xf numFmtId="0" fontId="7" fillId="0" borderId="1" xfId="0" applyFont="1" applyBorder="1" applyAlignment="1" applyProtection="1">
      <alignment horizontal="center" vertical="center" wrapText="1"/>
      <protection/>
    </xf>
    <xf numFmtId="0" fontId="7" fillId="0" borderId="1" xfId="0" applyFont="1" applyBorder="1" applyAlignment="1" applyProtection="1">
      <alignment horizontal="center"/>
      <protection/>
    </xf>
    <xf numFmtId="0" fontId="6" fillId="0" borderId="6" xfId="0" applyFont="1" applyBorder="1" applyAlignment="1" applyProtection="1">
      <alignment horizontal="left"/>
      <protection/>
    </xf>
    <xf numFmtId="0" fontId="9" fillId="0" borderId="0" xfId="20" applyFont="1" applyAlignment="1" applyProtection="1">
      <alignment horizontal="left" vertical="top" wrapText="1"/>
      <protection/>
    </xf>
    <xf numFmtId="0" fontId="9" fillId="4" borderId="0" xfId="20" applyFont="1" applyFill="1" applyAlignment="1" applyProtection="1">
      <alignment vertical="top" wrapText="1"/>
      <protection/>
    </xf>
    <xf numFmtId="0" fontId="6" fillId="0" borderId="6" xfId="0" applyFont="1" applyBorder="1" applyAlignment="1" applyProtection="1">
      <alignment horizontal="left" vertical="center"/>
      <protection/>
    </xf>
    <xf numFmtId="0" fontId="4" fillId="0" borderId="6" xfId="2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2" fillId="0" borderId="37" xfId="0" applyFont="1" applyBorder="1" applyAlignment="1" applyProtection="1">
      <alignment horizontal="left"/>
      <protection/>
    </xf>
    <xf numFmtId="0" fontId="2" fillId="0" borderId="12" xfId="0" applyFont="1" applyBorder="1" applyAlignment="1" applyProtection="1">
      <alignment horizontal="left"/>
      <protection/>
    </xf>
    <xf numFmtId="0" fontId="2" fillId="0" borderId="12" xfId="0" applyFont="1" applyBorder="1" applyAlignment="1" applyProtection="1">
      <alignment horizontal="right"/>
      <protection/>
    </xf>
    <xf numFmtId="0" fontId="2" fillId="0" borderId="38" xfId="0" applyFont="1" applyBorder="1" applyAlignment="1" applyProtection="1">
      <alignment horizontal="righ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334LLLL_DFESXXX_S52B05063" xfId="21"/>
    <cellStyle name="Normal_rolls_1" xfId="22"/>
    <cellStyle name="Percent" xfId="23"/>
  </cellStyles>
  <dxfs count="7">
    <dxf>
      <fill>
        <patternFill>
          <bgColor rgb="FFCCFFFF"/>
        </patternFill>
      </fill>
      <border/>
    </dxf>
    <dxf>
      <fill>
        <patternFill>
          <bgColor rgb="FFFF0000"/>
        </patternFill>
      </fill>
      <border/>
    </dxf>
    <dxf>
      <fill>
        <patternFill>
          <bgColor rgb="FFFFFF00"/>
        </patternFill>
      </fill>
      <border/>
    </dxf>
    <dxf>
      <fill>
        <patternFill>
          <bgColor rgb="FFFFFF99"/>
        </patternFill>
      </fill>
      <border/>
    </dxf>
    <dxf>
      <fill>
        <patternFill>
          <bgColor rgb="FF3366FF"/>
        </patternFill>
      </fill>
      <border/>
    </dxf>
    <dxf>
      <font>
        <b/>
        <i val="0"/>
        <color rgb="FFFFFF00"/>
      </font>
      <fill>
        <patternFill>
          <bgColor rgb="FF993300"/>
        </patternFill>
      </fill>
      <border/>
    </dxf>
    <dxf>
      <font>
        <b/>
        <i val="0"/>
        <color rgb="FFFFFFFF"/>
      </font>
      <fill>
        <patternFill>
          <bgColor rgb="FF000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34LLL_DFESXXX_S52060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bmit Data"/>
      <sheetName val="SBST"/>
      <sheetName val="Table 1"/>
      <sheetName val="T1 Annex - CEL"/>
      <sheetName val="T1 Annex - YS"/>
      <sheetName val="Table 2"/>
      <sheetName val="Table 3a"/>
      <sheetName val="Table 3b"/>
      <sheetName val="MFG"/>
      <sheetName val="Table 4"/>
      <sheetName val="Checksheet"/>
      <sheetName val="Error Cod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fes.gov.uk/localauthorities/docs/DfES_Leagateway_document_244.doc#T2_1" TargetMode="External" /><Relationship Id="rId2" Type="http://schemas.openxmlformats.org/officeDocument/2006/relationships/hyperlink" Target="http://www.dfes.gov.uk/localauthorities/docs/DfES_Leagateway_document_244.doc#T2_2" TargetMode="External" /><Relationship Id="rId3" Type="http://schemas.openxmlformats.org/officeDocument/2006/relationships/hyperlink" Target="http://www.dfes.gov.uk/localauthorities/docs/DfES_Leagateway_document_244.doc#T2_1" TargetMode="External" /><Relationship Id="rId4" Type="http://schemas.openxmlformats.org/officeDocument/2006/relationships/hyperlink" Target="http://www.dfes.gov.uk/localauthorities/docs/DfES_Leagateway_document_244.doc#T2_2" TargetMode="External" /><Relationship Id="rId5" Type="http://schemas.openxmlformats.org/officeDocument/2006/relationships/hyperlink" Target="http://www.dfes.gov.uk/localauthorities/docs/DfES_Leagateway_document_244.doc#T2_13" TargetMode="External" /><Relationship Id="rId6" Type="http://schemas.openxmlformats.org/officeDocument/2006/relationships/hyperlink" Target="http://www.dfes.gov.uk/localauthorities/docs/DfES_Leagateway_document_244.doc#T2_13a" TargetMode="External" /><Relationship Id="rId7" Type="http://schemas.openxmlformats.org/officeDocument/2006/relationships/hyperlink" Target="http://www.dfes.gov.uk/localauthorities/docs/DfES_Leagateway_document_244.doc#T2_14" TargetMode="External" /><Relationship Id="rId8" Type="http://schemas.openxmlformats.org/officeDocument/2006/relationships/hyperlink" Target="http://www.dfes.gov.uk/localauthorities/docs/DfES_Leagateway_document_244.doc#T2_15" TargetMode="External" /><Relationship Id="rId9" Type="http://schemas.openxmlformats.org/officeDocument/2006/relationships/hyperlink" Target="http://www.dfes.gov.uk/localauthorities/docs/DfES_Leagateway_document_244.doc#T2_16a" TargetMode="External" /><Relationship Id="rId10" Type="http://schemas.openxmlformats.org/officeDocument/2006/relationships/hyperlink" Target="http://www.dfes.gov.uk/localauthorities/docs/DfES_Leagateway_document_244.doc#T2_16b" TargetMode="External" /><Relationship Id="rId11" Type="http://schemas.openxmlformats.org/officeDocument/2006/relationships/hyperlink" Target="http://www.dfes.gov.uk/localauthorities/docs/DfES_Leagateway_document_244.doc#T2_17" TargetMode="External" /><Relationship Id="rId12" Type="http://schemas.openxmlformats.org/officeDocument/2006/relationships/hyperlink" Target="http://www.dfes.gov.uk/localauthorities/docs/DfES_Leagateway_document_244.doc#T2_18" TargetMode="External" /><Relationship Id="rId13" Type="http://schemas.openxmlformats.org/officeDocument/2006/relationships/hyperlink" Target="http://www.dfes.gov.uk/localauthorities/docs/DfES_Leagateway_document_244.doc#T2_19" TargetMode="External" /><Relationship Id="rId14" Type="http://schemas.openxmlformats.org/officeDocument/2006/relationships/hyperlink" Target="http://www.dfes.gov.uk/localauthorities/docs/DfES_Leagateway_document_244.doc#T2_20" TargetMode="External" /><Relationship Id="rId15" Type="http://schemas.openxmlformats.org/officeDocument/2006/relationships/hyperlink" Target="http://www.dfes.gov.uk/localauthorities/docs/DfES_Leagateway_document_244.doc#T2_23" TargetMode="External" /><Relationship Id="rId16" Type="http://schemas.openxmlformats.org/officeDocument/2006/relationships/hyperlink" Target="http://www.dfes.gov.uk/localauthorities/docs/DfES_Leagateway_document_244.doc#T2_24" TargetMode="External" /><Relationship Id="rId17" Type="http://schemas.openxmlformats.org/officeDocument/2006/relationships/hyperlink" Target="http://www.dfes.gov.uk/localauthorities/docs/DfES_Leagateway_document_244.doc#T2_26" TargetMode="External" /><Relationship Id="rId18" Type="http://schemas.openxmlformats.org/officeDocument/2006/relationships/hyperlink" Target="http://www.dfes.gov.uk/localauthorities/docs/DfES_Leagateway_document_244.doc#T2_27" TargetMode="External" /><Relationship Id="rId19" Type="http://schemas.openxmlformats.org/officeDocument/2006/relationships/hyperlink" Target="http://www.dfes.gov.uk/localauthorities/docs/DfES_Leagateway_document_244.doc#T2_28" TargetMode="External" /><Relationship Id="rId20" Type="http://schemas.openxmlformats.org/officeDocument/2006/relationships/hyperlink" Target="http://www.dfes.gov.uk/localauthorities/docs/DfES_Leagateway_document_244.doc#T2_29" TargetMode="External" /><Relationship Id="rId21" Type="http://schemas.openxmlformats.org/officeDocument/2006/relationships/hyperlink" Target="http://www.dfes.gov.uk/localauthorities/docs/DfES_Leagateway_document_244.doc#T2_30" TargetMode="External" /><Relationship Id="rId22" Type="http://schemas.openxmlformats.org/officeDocument/2006/relationships/hyperlink" Target="http://www.dfes.gov.uk/localauthorities/docs/DfES_Leagateway_document_244.doc#T2_31" TargetMode="External" /><Relationship Id="rId23" Type="http://schemas.openxmlformats.org/officeDocument/2006/relationships/hyperlink" Target="http://www.dfes.gov.uk/localauthorities/docs/DfES_Leagateway_document_244.doc#T2_32" TargetMode="External" /><Relationship Id="rId24" Type="http://schemas.openxmlformats.org/officeDocument/2006/relationships/hyperlink" Target="http://www.dfes.gov.uk/localauthorities/docs/DfES_Leagateway_document_244.doc#T2_33" TargetMode="External" /><Relationship Id="rId25" Type="http://schemas.openxmlformats.org/officeDocument/2006/relationships/hyperlink" Target="http://www.dfes.gov.uk/localauthorities/docs/DfES_Leagateway_document_244.doc#T2_34" TargetMode="External" /><Relationship Id="rId26" Type="http://schemas.openxmlformats.org/officeDocument/2006/relationships/hyperlink" Target="http://www.dfes.gov.uk/localauthorities/docs/DfES_Leagateway_document_244.doc#T2_35" TargetMode="External" /><Relationship Id="rId27" Type="http://schemas.openxmlformats.org/officeDocument/2006/relationships/hyperlink" Target="http://www.dfes.gov.uk/localauthorities/docs/DfES_Leagateway_document_244.doc#T2_36" TargetMode="External" /><Relationship Id="rId28" Type="http://schemas.openxmlformats.org/officeDocument/2006/relationships/hyperlink" Target="http://www.dfes.gov.uk/localauthorities/docs/DfES_Leagateway_document_244.doc#T2_37" TargetMode="External" /><Relationship Id="rId29" Type="http://schemas.openxmlformats.org/officeDocument/2006/relationships/hyperlink" Target="http://www.dfes.gov.uk/localauthorities/docs/DfES_Leagateway_document_244.doc#T2_38" TargetMode="External" /><Relationship Id="rId30" Type="http://schemas.openxmlformats.org/officeDocument/2006/relationships/hyperlink" Target="http://www.dfes.gov.uk/localauthorities/docs/DfES_Leagateway_document_244.doc#T2_39" TargetMode="External" /><Relationship Id="rId31" Type="http://schemas.openxmlformats.org/officeDocument/2006/relationships/hyperlink" Target="http://www.dfes.gov.uk/localauthorities/docs/DfES_Leagateway_document_244.doc#T2_3a" TargetMode="External" /><Relationship Id="rId32" Type="http://schemas.openxmlformats.org/officeDocument/2006/relationships/hyperlink" Target="http://www.dfes.gov.uk/localauthorities/docs/DfES_Leagateway_document_244.doc#T2_4a" TargetMode="External" /><Relationship Id="rId33" Type="http://schemas.openxmlformats.org/officeDocument/2006/relationships/hyperlink" Target="http://www.dfes.gov.uk/localauthorities/docs/DfES_Leagateway_document_244.doc#T2_7" TargetMode="External" /><Relationship Id="rId34" Type="http://schemas.openxmlformats.org/officeDocument/2006/relationships/hyperlink" Target="http://www.dfes.gov.uk/localauthorities/docs/DfES_Leagateway_document_244.doc#T2_9" TargetMode="External" /><Relationship Id="rId35" Type="http://schemas.openxmlformats.org/officeDocument/2006/relationships/hyperlink" Target="http://www.dfes.gov.uk/localauthorities/docs/DfES_Leagateway_document_244.doc#T2_10" TargetMode="External" /><Relationship Id="rId36" Type="http://schemas.openxmlformats.org/officeDocument/2006/relationships/hyperlink" Target="http://www.dfes.gov.uk/localauthorities/docs/DfES_Leagateway_document_244.doc#T2_11" TargetMode="External" /><Relationship Id="rId37" Type="http://schemas.openxmlformats.org/officeDocument/2006/relationships/hyperlink" Target="http://www.dfes.gov.uk/localauthorities/docs/DfES_Leagateway_document_244.doc#T2_12" TargetMode="External" /><Relationship Id="rId38" Type="http://schemas.openxmlformats.org/officeDocument/2006/relationships/hyperlink" Target="http://www.dfes.gov.uk/localauthorities/docs/DfES_Leagateway_document_244.doc#T2_MFG_Variation" TargetMode="External" /><Relationship Id="rId39" Type="http://schemas.openxmlformats.org/officeDocument/2006/relationships/hyperlink" Target="http://www.dfes.gov.uk/localauthorities/docs/DfES_Leagateway_document_244.doc#T2_24" TargetMode="External" /><Relationship Id="rId40" Type="http://schemas.openxmlformats.org/officeDocument/2006/relationships/hyperlink" Target="http://www.dfes.gov.uk/localauthorities/docs/DfES_Leagateway_document_244.doc#T2_23" TargetMode="External" /><Relationship Id="rId41" Type="http://schemas.openxmlformats.org/officeDocument/2006/relationships/hyperlink" Target="http://www.dfes.gov.uk/localauthorities/docs/DfES_Leagateway_document_244.doc#T2_22" TargetMode="External" /><Relationship Id="rId42" Type="http://schemas.openxmlformats.org/officeDocument/2006/relationships/hyperlink" Target="http://www.dfes.gov.uk/localauthorities/docs/DfES_Leagateway_document_244.doc#T2_21" TargetMode="External" /><Relationship Id="rId43" Type="http://schemas.openxmlformats.org/officeDocument/2006/relationships/hyperlink" Target="http://www.dfes.gov.uk/localauthorities/docs/DfES_Leagateway_document_244.doc#T2_20" TargetMode="External" /><Relationship Id="rId44" Type="http://schemas.openxmlformats.org/officeDocument/2006/relationships/hyperlink" Target="http://www.dfes.gov.uk/localauthorities/docs/DfES_Leagateway_document_244.doc#T2_19" TargetMode="External" /><Relationship Id="rId45" Type="http://schemas.openxmlformats.org/officeDocument/2006/relationships/hyperlink" Target="http://www.dfes.gov.uk/localauthorities/docs/DfES_Leagateway_document_244.doc#T2_18" TargetMode="External" /><Relationship Id="rId46" Type="http://schemas.openxmlformats.org/officeDocument/2006/relationships/hyperlink" Target="http://www.dfes.gov.uk/localauthorities/docs/DfES_Leagateway_document_244.doc#T2_17" TargetMode="External" /><Relationship Id="rId47" Type="http://schemas.openxmlformats.org/officeDocument/2006/relationships/hyperlink" Target="http://www.dfes.gov.uk/localauthorities/docs/DfES_Leagateway_document_244.doc#T2_16b" TargetMode="External" /><Relationship Id="rId48" Type="http://schemas.openxmlformats.org/officeDocument/2006/relationships/hyperlink" Target="http://www.dfes.gov.uk/localauthorities/docs/DfES_Leagateway_document_244.doc#T2_16a" TargetMode="External" /><Relationship Id="rId49" Type="http://schemas.openxmlformats.org/officeDocument/2006/relationships/hyperlink" Target="http://www.dfes.gov.uk/localauthorities/docs/DfES_Leagateway_document_244.doc#T2_15" TargetMode="External" /><Relationship Id="rId50" Type="http://schemas.openxmlformats.org/officeDocument/2006/relationships/hyperlink" Target="http://www.dfes.gov.uk/localauthorities/docs/DfES_Leagateway_document_244.doc#T2_14" TargetMode="External" /><Relationship Id="rId51" Type="http://schemas.openxmlformats.org/officeDocument/2006/relationships/hyperlink" Target="http://www.dfes.gov.uk/localauthorities/docs/DfES_Leagateway_document_244.doc#T2_13a" TargetMode="External" /><Relationship Id="rId52" Type="http://schemas.openxmlformats.org/officeDocument/2006/relationships/hyperlink" Target="http://www.dfes.gov.uk/localauthorities/docs/DfES_Leagateway_document_244.doc#T2_13" TargetMode="External" /><Relationship Id="rId53" Type="http://schemas.openxmlformats.org/officeDocument/2006/relationships/hyperlink" Target="http://www.dfes.gov.uk/localauthorities/docs/DfES_Leagateway_document_244.doc#T2_12" TargetMode="External" /><Relationship Id="rId54" Type="http://schemas.openxmlformats.org/officeDocument/2006/relationships/hyperlink" Target="http://www.dfes.gov.uk/localauthorities/docs/DfES_Leagateway_document_244.doc#T2_11" TargetMode="External" /><Relationship Id="rId55" Type="http://schemas.openxmlformats.org/officeDocument/2006/relationships/hyperlink" Target="http://www.dfes.gov.uk/localauthorities/docs/DfES_Leagateway_document_244.doc#T2_10" TargetMode="External" /><Relationship Id="rId56" Type="http://schemas.openxmlformats.org/officeDocument/2006/relationships/hyperlink" Target="http://www.dfes.gov.uk/localauthorities/docs/DfES_Leagateway_document_244.doc#T2_9" TargetMode="External" /><Relationship Id="rId57" Type="http://schemas.openxmlformats.org/officeDocument/2006/relationships/hyperlink" Target="http://www.dfes.gov.uk/localauthorities/docs/DfES_Leagateway_document_244.doc#T2_8" TargetMode="External" /><Relationship Id="rId58" Type="http://schemas.openxmlformats.org/officeDocument/2006/relationships/hyperlink" Target="http://www.dfes.gov.uk/localauthorities/docs/DfES_Leagateway_document_244.doc#T2_7" TargetMode="External" /><Relationship Id="rId59" Type="http://schemas.openxmlformats.org/officeDocument/2006/relationships/hyperlink" Target="http://www.dfes.gov.uk/localauthorities/docs/DfES_Leagateway_document_244.doc#T2_6" TargetMode="External" /><Relationship Id="rId60" Type="http://schemas.openxmlformats.org/officeDocument/2006/relationships/hyperlink" Target="http://www.dfes.gov.uk/localauthorities/docs/DfES_Leagateway_document_244.doc#T2_5" TargetMode="External" /><Relationship Id="rId61" Type="http://schemas.openxmlformats.org/officeDocument/2006/relationships/hyperlink" Target="http://www.dfes.gov.uk/localauthorities/docs/DfES_Leagateway_document_244.doc#T2_4" TargetMode="External" /><Relationship Id="rId62" Type="http://schemas.openxmlformats.org/officeDocument/2006/relationships/hyperlink" Target="http://www.dfes.gov.uk/localauthorities/docs/DfES_Leagateway_document_244.doc#T2_3" TargetMode="External" /><Relationship Id="rId6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dfes.gov.uk/localauthorities/docs/DfES_Leagateway_document_244.doc#T3_Additional_Pupil_Led_Funding" TargetMode="External" /><Relationship Id="rId2" Type="http://schemas.openxmlformats.org/officeDocument/2006/relationships/hyperlink" Target="http://www.dfes.gov.uk/localauthorities/docs/DfES_Leagateway_document_244.doc#T3_Budget_Adjustments" TargetMode="External" /><Relationship Id="rId3" Type="http://schemas.openxmlformats.org/officeDocument/2006/relationships/hyperlink" Target="http://www.dfes.gov.uk/localauthorities/docs/DfES_Leagateway_document_244.doc#T3_DfES_Number" TargetMode="External" /><Relationship Id="rId4" Type="http://schemas.openxmlformats.org/officeDocument/2006/relationships/hyperlink" Target="http://www.dfes.gov.uk/localauthorities/docs/DfES_Leagateway_document_244.doc#T3_Pupil_funded_by_year_age_groups" TargetMode="External" /><Relationship Id="rId5" Type="http://schemas.openxmlformats.org/officeDocument/2006/relationships/hyperlink" Target="http://www.dfes.gov.uk/localauthorities/docs/DfES_Leagateway_document_244.doc#T3_School_name" TargetMode="External" /><Relationship Id="rId6" Type="http://schemas.openxmlformats.org/officeDocument/2006/relationships/hyperlink" Target="http://www.dfes.gov.uk/localauthorities/docs/DfES_Leagateway_document_244.doc#T3_Pupils" TargetMode="External" /><Relationship Id="rId7" Type="http://schemas.openxmlformats.org/officeDocument/2006/relationships/hyperlink" Target="http://www.dfes.gov.uk/localauthorities/docs/DfES_Leagateway_document_244.doc#T3_Pupils" TargetMode="External" /><Relationship Id="rId8" Type="http://schemas.openxmlformats.org/officeDocument/2006/relationships/hyperlink" Target="http://www.dfes.gov.uk/localauthorities/docs/DfES_Leagateway_document_244.doc#T3_Pupils" TargetMode="External" /><Relationship Id="rId9" Type="http://schemas.openxmlformats.org/officeDocument/2006/relationships/hyperlink" Target="http://www.dfes.gov.uk/localauthorities/docs/DfES_Leagateway_document_244.doc#T3_Pupils" TargetMode="External" /><Relationship Id="rId10" Type="http://schemas.openxmlformats.org/officeDocument/2006/relationships/hyperlink" Target="http://www.dfes.gov.uk/localauthorities/docs/DfES_Leagateway_document_244.doc#T3_Pupils" TargetMode="External" /><Relationship Id="rId11" Type="http://schemas.openxmlformats.org/officeDocument/2006/relationships/hyperlink" Target="http://www.dfes.gov.uk/localauthorities/docs/DfES_Leagateway_document_244.doc#T3_Pupils" TargetMode="External" /><Relationship Id="rId12" Type="http://schemas.openxmlformats.org/officeDocument/2006/relationships/hyperlink" Target="http://www.dfes.gov.uk/localauthorities/docs/DfES_Leagateway_document_244.doc#T3_Pupils" TargetMode="External" /><Relationship Id="rId13" Type="http://schemas.openxmlformats.org/officeDocument/2006/relationships/hyperlink" Target="http://www.dfes.gov.uk/localauthorities/docs/DfES_Leagateway_document_244.doc#T3_Pupils" TargetMode="External" /><Relationship Id="rId14" Type="http://schemas.openxmlformats.org/officeDocument/2006/relationships/hyperlink" Target="http://www.dfes.gov.uk/localauthorities/docs/DfES_Leagateway_document_244.doc#T3_Pupils" TargetMode="External" /><Relationship Id="rId15" Type="http://schemas.openxmlformats.org/officeDocument/2006/relationships/hyperlink" Target="http://www.dfes.gov.uk/localauthorities/docs/DfES_Leagateway_document_244.doc#T3_Pupils" TargetMode="External" /><Relationship Id="rId16" Type="http://schemas.openxmlformats.org/officeDocument/2006/relationships/hyperlink" Target="http://www.dfes.gov.uk/localauthorities/docs/DfES_Leagateway_document_244.doc#T3_Pupils" TargetMode="External" /><Relationship Id="rId17" Type="http://schemas.openxmlformats.org/officeDocument/2006/relationships/hyperlink" Target="http://www.dfes.gov.uk/localauthorities/docs/DfES_Leagateway_document_244.doc#T3_Pupils" TargetMode="External" /><Relationship Id="rId18" Type="http://schemas.openxmlformats.org/officeDocument/2006/relationships/hyperlink" Target="http://www.dfes.gov.uk/localauthorities/docs/DfES_Leagateway_document_244.doc#T3_Pupils" TargetMode="External" /><Relationship Id="rId19" Type="http://schemas.openxmlformats.org/officeDocument/2006/relationships/hyperlink" Target="http://www.dfes.gov.uk/localauthorities/docs/DfES_Leagateway_document_244.doc#T3_Pupils" TargetMode="External" /><Relationship Id="rId20" Type="http://schemas.openxmlformats.org/officeDocument/2006/relationships/hyperlink" Target="http://www.dfes.gov.uk/localauthorities/docs/DfES_Leagateway_document_244.doc#T3_Pupils" TargetMode="External" /><Relationship Id="rId21" Type="http://schemas.openxmlformats.org/officeDocument/2006/relationships/hyperlink" Target="http://www.dfes.gov.uk/localauthorities/docs/DfES_Leagateway_document_244.doc#T3_Pupils" TargetMode="External" /><Relationship Id="rId22" Type="http://schemas.openxmlformats.org/officeDocument/2006/relationships/hyperlink" Target="http://www.dfes.gov.uk/localauthorities/docs/DfES_Leagateway_document_244.doc#T3_Site_specific_factors" TargetMode="External" /><Relationship Id="rId23" Type="http://schemas.openxmlformats.org/officeDocument/2006/relationships/hyperlink" Target="http://www.dfes.gov.uk/localauthorities/docs/DfES_Leagateway_document_244.doc#T3_School_specific_factors" TargetMode="External" /><Relationship Id="rId24" Type="http://schemas.openxmlformats.org/officeDocument/2006/relationships/hyperlink" Target="http://www.dfes.gov.uk/localauthorities/docs/DfES_Leagateway_document_244.doc#T3_Social_deprivation" TargetMode="External" /><Relationship Id="rId25" Type="http://schemas.openxmlformats.org/officeDocument/2006/relationships/hyperlink" Target="http://www.dfes.gov.uk/localauthorities/docs/DfES_Leagateway_document_244.doc#T3_Total_Budget_Share" TargetMode="External" /><Relationship Id="rId26" Type="http://schemas.openxmlformats.org/officeDocument/2006/relationships/hyperlink" Target="http://www.dfes.gov.uk/localauthorities/docs/DfES_Leagateway_document_244.doc#T3_Total_Special_Non_Statemented_" TargetMode="External" /><Relationship Id="rId27" Type="http://schemas.openxmlformats.org/officeDocument/2006/relationships/hyperlink" Target="http://www.dfes.gov.uk/localauthorities/docs/DfES_Leagateway_document_244.doc#T3_Special_Educational_Needs_Pupil_Led" TargetMode="External" /><Relationship Id="rId28" Type="http://schemas.openxmlformats.org/officeDocument/2006/relationships/hyperlink" Target="http://www.dfes.gov.uk/localauthorities/docs/DfES_Leagateway_document_244.doc#T3_Additional_Pupil_Led_Funding" TargetMode="External" /><Relationship Id="rId29" Type="http://schemas.openxmlformats.org/officeDocument/2006/relationships/hyperlink" Target="http://www.dfes.gov.uk/localauthorities/docs/DfES_Leagateway_document_244.doc#T3_Additional_Pupil_Led_Funding" TargetMode="External" /><Relationship Id="rId30"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dfes.gov.uk/localauthorities/docs/DfES_Leagateway_document_244.doc#T3_Special_Schools" TargetMode="External" /><Relationship Id="rId2" Type="http://schemas.openxmlformats.org/officeDocument/2006/relationships/hyperlink" Target="http://www.dfes.gov.uk/localauthorities/docs/DfES_Leagateway_document_244.doc#T3_Place_Led_Funding" TargetMode="External" /><Relationship Id="rId3" Type="http://schemas.openxmlformats.org/officeDocument/2006/relationships/hyperlink" Target="http://www.dfes.gov.uk/localauthorities/docs/DfES_Leagateway_document_244.doc#T3_Pupil_Led_Funding" TargetMode="External" /><Relationship Id="rId4" Type="http://schemas.openxmlformats.org/officeDocument/2006/relationships/hyperlink" Target="http://www.dfes.gov.uk/localauthorities/docs/DfES_Leagateway_document_244.doc#T3_Social_Deprivation" TargetMode="External" /><Relationship Id="rId5" Type="http://schemas.openxmlformats.org/officeDocument/2006/relationships/hyperlink" Target="http://www.dfes.gov.uk/localauthorities/docs/DfES_Leagateway_document_244.doc#T3_Site_Specific_Factors" TargetMode="External" /><Relationship Id="rId6" Type="http://schemas.openxmlformats.org/officeDocument/2006/relationships/hyperlink" Target="http://www.dfes.gov.uk/localauthorities/docs/DfES_Leagateway_document_244.doc#T3_School_Specific_Factors" TargetMode="External" /><Relationship Id="rId7" Type="http://schemas.openxmlformats.org/officeDocument/2006/relationships/hyperlink" Target="http://www.dfes.gov.uk/localauthorities/docs/DfES_Leagateway_document_244.doc#T3_Total_Special_Schools_Budget_Share" TargetMode="External" /><Relationship Id="rId8" Type="http://schemas.openxmlformats.org/officeDocument/2006/relationships/hyperlink" Target="http://www.dfes.gov.uk/localauthorities/docs/DfES_Leagateway_document_244.doc#T3_Budget_Adjustments" TargetMode="External" /><Relationship Id="rId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dfes.gov.uk/localauthorities/docs/DfES_Leagateway_document_244.doc#T4_1" TargetMode="External" /><Relationship Id="rId2" Type="http://schemas.openxmlformats.org/officeDocument/2006/relationships/hyperlink" Target="http://www.dfes.gov.uk/localauthorities/docs/DfES_Leagateway_document_244.doc#T4_2" TargetMode="External" /><Relationship Id="rId3" Type="http://schemas.openxmlformats.org/officeDocument/2006/relationships/hyperlink" Target="http://www.dfes.gov.uk/localauthorities/docs/DfES_Leagateway_document_244.doc#T4_3" TargetMode="External" /><Relationship Id="rId4" Type="http://schemas.openxmlformats.org/officeDocument/2006/relationships/hyperlink" Target="http://www.dfes.gov.uk/localauthorities/docs/DfES_Leagateway_document_244.doc#T4_4" TargetMode="External" /><Relationship Id="rId5" Type="http://schemas.openxmlformats.org/officeDocument/2006/relationships/hyperlink" Target="http://www.dfes.gov.uk/localauthorities/docs/DfES_Leagateway_document_244.doc#T4_5" TargetMode="External" /><Relationship Id="rId6" Type="http://schemas.openxmlformats.org/officeDocument/2006/relationships/hyperlink" Target="http://www.dfes.gov.uk/localauthorities/docs/DfES_Leagateway_document_244.doc#T4_6" TargetMode="External" /><Relationship Id="rId7" Type="http://schemas.openxmlformats.org/officeDocument/2006/relationships/hyperlink" Target="http://www.dfes.gov.uk/localauthorities/docs/DfES_Leagateway_document_244.doc#T4_7" TargetMode="External" /><Relationship Id="rId8" Type="http://schemas.openxmlformats.org/officeDocument/2006/relationships/hyperlink" Target="http://www.dfes.gov.uk/localauthorities/docs/DfES_Leagateway_document_244.doc#T4_8" TargetMode="External" /><Relationship Id="rId9" Type="http://schemas.openxmlformats.org/officeDocument/2006/relationships/hyperlink" Target="http://www.dfes.gov.uk/localauthorities/docs/DfES_Leagateway_document_244.doc#T4_9" TargetMode="External" /><Relationship Id="rId10" Type="http://schemas.openxmlformats.org/officeDocument/2006/relationships/hyperlink" Target="http://www.dfes.gov.uk/localauthorities/docs/DfES_Leagateway_document_244.doc#T4_10" TargetMode="External" /><Relationship Id="rId11" Type="http://schemas.openxmlformats.org/officeDocument/2006/relationships/hyperlink" Target="http://www.dfes.gov.uk/localauthorities/docs/DfES_Leagateway_document_244.doc#T4_10a" TargetMode="External" /><Relationship Id="rId12" Type="http://schemas.openxmlformats.org/officeDocument/2006/relationships/hyperlink" Target="http://www.dfes.gov.uk/localauthorities/docs/DfES_Leagateway_document_244.doc#T4_11" TargetMode="External" /><Relationship Id="rId13" Type="http://schemas.openxmlformats.org/officeDocument/2006/relationships/hyperlink" Target="http://www.dfes.gov.uk/localauthorities/docs/DfES_Leagateway_document_244.doc#T4_12" TargetMode="External" /><Relationship Id="rId14" Type="http://schemas.openxmlformats.org/officeDocument/2006/relationships/hyperlink" Target="http://www.dfes.gov.uk/localauthorities/docs/DfES_Leagateway_document_244.doc#T4_13" TargetMode="External" /><Relationship Id="rId15" Type="http://schemas.openxmlformats.org/officeDocument/2006/relationships/hyperlink" Target="http://www.dfes.gov.uk/localauthorities/docs/DfES_Leagateway_document_244.doc#T4_14" TargetMode="External" /><Relationship Id="rId16" Type="http://schemas.openxmlformats.org/officeDocument/2006/relationships/hyperlink" Target="http://www.dfes.gov.uk/localauthorities/docs/DfES_Leagateway_document_244.doc#T4_14a" TargetMode="External" /><Relationship Id="rId17" Type="http://schemas.openxmlformats.org/officeDocument/2006/relationships/hyperlink" Target="http://www.dfes.gov.uk/localauthorities/docs/DfES_Leagateway_document_244.doc#T4_14b" TargetMode="External" /><Relationship Id="rId18" Type="http://schemas.openxmlformats.org/officeDocument/2006/relationships/hyperlink" Target="http://www.dfes.gov.uk/localauthorities/docs/DfES_Leagateway_document_244.doc#T4_15" TargetMode="External" /><Relationship Id="rId19" Type="http://schemas.openxmlformats.org/officeDocument/2006/relationships/hyperlink" Target="http://www.dfes.gov.uk/localauthorities/docs/DfES_Leagateway_document_244.doc#T4_15a" TargetMode="External" /><Relationship Id="rId20" Type="http://schemas.openxmlformats.org/officeDocument/2006/relationships/hyperlink" Target="http://www.dfes.gov.uk/localauthorities/docs/DfES_Leagateway_document_244.doc#T4_15b" TargetMode="External" /><Relationship Id="rId21" Type="http://schemas.openxmlformats.org/officeDocument/2006/relationships/hyperlink" Target="http://www.dfes.gov.uk/localauthorities/docs/DfES_Leagateway_document_244.doc#T4_16" TargetMode="External" /><Relationship Id="rId22" Type="http://schemas.openxmlformats.org/officeDocument/2006/relationships/hyperlink" Target="http://www.dfes.gov.uk/localauthorities/docs/DfES_Leagateway_document_244.doc#T4_17" TargetMode="External" /><Relationship Id="rId23" Type="http://schemas.openxmlformats.org/officeDocument/2006/relationships/hyperlink" Target="http://www.dfes.gov.uk/localauthorities/docs/DfES_Leagateway_document_244.doc#T4_18" TargetMode="External" /><Relationship Id="rId24" Type="http://schemas.openxmlformats.org/officeDocument/2006/relationships/hyperlink" Target="http://www.dfes.gov.uk/localauthorities/docs/DfES_Leagateway_document_244.doc#T4_19" TargetMode="External" /><Relationship Id="rId25" Type="http://schemas.openxmlformats.org/officeDocument/2006/relationships/hyperlink" Target="http://www.dfes.gov.uk/localauthorities/docs/DfES_Leagateway_document_244.doc#T4_20" TargetMode="External" /><Relationship Id="rId26" Type="http://schemas.openxmlformats.org/officeDocument/2006/relationships/hyperlink" Target="http://www.dfes.gov.uk/localauthorities/docs/DfES_Leagateway_document_244.doc#T4_21" TargetMode="External" /><Relationship Id="rId27" Type="http://schemas.openxmlformats.org/officeDocument/2006/relationships/hyperlink" Target="http://www.dfes.gov.uk/localauthorities/docs/DfES_Leagateway_document_244.doc#T4_22" TargetMode="External" /><Relationship Id="rId28" Type="http://schemas.openxmlformats.org/officeDocument/2006/relationships/hyperlink" Target="http://www.dfes.gov.uk/localauthorities/docs/DfES_Leagateway_document_244.doc#T4_23" TargetMode="External" /><Relationship Id="rId29" Type="http://schemas.openxmlformats.org/officeDocument/2006/relationships/hyperlink" Target="http://www.dfes.gov.uk/localauthorities/docs/DfES_Leagateway_document_244.doc#T4_24" TargetMode="External" /><Relationship Id="rId30" Type="http://schemas.openxmlformats.org/officeDocument/2006/relationships/hyperlink" Target="http://www.dfes.gov.uk/localauthorities/docs/DfES_Leagateway_document_244.doc#T4_25" TargetMode="External" /><Relationship Id="rId31" Type="http://schemas.openxmlformats.org/officeDocument/2006/relationships/hyperlink" Target="http://www.dfes.gov.uk/localauthorities/docs/DfES_Leagateway_document_244.doc#T4_26" TargetMode="External" /><Relationship Id="rId32" Type="http://schemas.openxmlformats.org/officeDocument/2006/relationships/hyperlink" Target="http://www.dfes.gov.uk/localauthorities/docs/DfES_Leagateway_document_244.doc#T4_27" TargetMode="External" /><Relationship Id="rId33" Type="http://schemas.openxmlformats.org/officeDocument/2006/relationships/hyperlink" Target="http://www.dfes.gov.uk/localauthorities/docs/DfES_Leagateway_document_244.doc#T4_28" TargetMode="External" /><Relationship Id="rId34" Type="http://schemas.openxmlformats.org/officeDocument/2006/relationships/hyperlink" Target="http://www.dfes.gov.uk/localauthorities/docs/DfES_Leagateway_document_244.doc#T4_29" TargetMode="External" /><Relationship Id="rId35" Type="http://schemas.openxmlformats.org/officeDocument/2006/relationships/hyperlink" Target="http://www.dfes.gov.uk/localauthorities/docs/DfES_Leagateway_document_244.doc#T4_30" TargetMode="External" /><Relationship Id="rId36" Type="http://schemas.openxmlformats.org/officeDocument/2006/relationships/hyperlink" Target="http://www.dfes.gov.uk/localauthorities/docs/DfES_Leagateway_document_244.doc#T4_31" TargetMode="External" /><Relationship Id="rId37" Type="http://schemas.openxmlformats.org/officeDocument/2006/relationships/hyperlink" Target="http://www.dfes.gov.uk/localauthorities/docs/DfES_Leagateway_document_244.doc#T4_32" TargetMode="External" /><Relationship Id="rId38" Type="http://schemas.openxmlformats.org/officeDocument/2006/relationships/hyperlink" Target="http://www.dfes.gov.uk/localauthorities/docs/DfES_Leagateway_document_244.doc#T4_33" TargetMode="External" /><Relationship Id="rId39" Type="http://schemas.openxmlformats.org/officeDocument/2006/relationships/hyperlink" Target="http://www.dfes.gov.uk/localauthorities/docs/DfES_Leagateway_document_244.doc#T4_34" TargetMode="External" /><Relationship Id="rId40" Type="http://schemas.openxmlformats.org/officeDocument/2006/relationships/hyperlink" Target="http://www.dfes.gov.uk/localauthorities/docs/DfES_Leagateway_document_244.doc#T4_35" TargetMode="External" /><Relationship Id="rId41" Type="http://schemas.openxmlformats.org/officeDocument/2006/relationships/hyperlink" Target="http://www.dfes.gov.uk/localauthorities/docs/DfES_Leagateway_document_244.doc#T4_36" TargetMode="External" /><Relationship Id="rId42" Type="http://schemas.openxmlformats.org/officeDocument/2006/relationships/hyperlink" Target="http://www.dfes.gov.uk/localauthorities/docs/DfES_Leagateway_document_244.doc#T4_37" TargetMode="External" /><Relationship Id="rId43" Type="http://schemas.openxmlformats.org/officeDocument/2006/relationships/comments" Target="../comments8.xml" /><Relationship Id="rId44" Type="http://schemas.openxmlformats.org/officeDocument/2006/relationships/vmlDrawing" Target="../drawings/vmlDrawing1.vml" /><Relationship Id="rId4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dfes.gov.uk/localauthorities/docs/DfES_Leagateway_document_244.doc#T1_101" TargetMode="External" /><Relationship Id="rId2" Type="http://schemas.openxmlformats.org/officeDocument/2006/relationships/hyperlink" Target="http://www.dfes.gov.uk/localauthorities/docs/DfES_Leagateway_document_244.doc#T1_102" TargetMode="External" /><Relationship Id="rId3" Type="http://schemas.openxmlformats.org/officeDocument/2006/relationships/hyperlink" Target="http://www.dfes.gov.uk/localauthorities/docs/DfES_Leagateway_document_244.doc#T1_103" TargetMode="External" /><Relationship Id="rId4" Type="http://schemas.openxmlformats.org/officeDocument/2006/relationships/hyperlink" Target="http://www.dfes.gov.uk/localauthorities/docs/DfES_Leagateway_document_244.doc#T1_104" TargetMode="External" /><Relationship Id="rId5" Type="http://schemas.openxmlformats.org/officeDocument/2006/relationships/hyperlink" Target="http://www.dfes.gov.uk/localauthorities/docs/DfES_Leagateway_document_244.doc#T1_105" TargetMode="External" /><Relationship Id="rId6" Type="http://schemas.openxmlformats.org/officeDocument/2006/relationships/hyperlink" Target="http://www.dfes.gov.uk/localauthorities/docs/DfES_Leagateway_document_244.doc#T1_106" TargetMode="External" /><Relationship Id="rId7" Type="http://schemas.openxmlformats.org/officeDocument/2006/relationships/hyperlink" Target="http://www.dfes.gov.uk/localauthorities/docs/DfES_Leagateway_document_244.doc#T1_107" TargetMode="External" /><Relationship Id="rId8" Type="http://schemas.openxmlformats.org/officeDocument/2006/relationships/hyperlink" Target="http://www.dfes.gov.uk/localauthorities/docs/DfES_Leagateway_document_244.doc#T1_108" TargetMode="External" /><Relationship Id="rId9" Type="http://schemas.openxmlformats.org/officeDocument/2006/relationships/hyperlink" Target="http://www.dfes.gov.uk/localauthorities/docs/DfES_Leagateway_document_244.doc#T1_111" TargetMode="External" /><Relationship Id="rId10" Type="http://schemas.openxmlformats.org/officeDocument/2006/relationships/hyperlink" Target="http://www.dfes.gov.uk/localauthorities/docs/DfES_Leagateway_document_244.doc#T1_112" TargetMode="External" /><Relationship Id="rId11" Type="http://schemas.openxmlformats.org/officeDocument/2006/relationships/hyperlink" Target="http://www.dfes.gov.uk/localauthorities/docs/DfES_Leagateway_document_244.doc#T1_113" TargetMode="External" /><Relationship Id="rId12" Type="http://schemas.openxmlformats.org/officeDocument/2006/relationships/hyperlink" Target="http://www.dfes.gov.uk/localauthorities/docs/DfES_Leagateway_document_244.doc#T1_121" TargetMode="External" /><Relationship Id="rId13" Type="http://schemas.openxmlformats.org/officeDocument/2006/relationships/hyperlink" Target="http://www.dfes.gov.uk/localauthorities/docs/DfES_Leagateway_document_244.doc#T1_122" TargetMode="External" /><Relationship Id="rId14" Type="http://schemas.openxmlformats.org/officeDocument/2006/relationships/hyperlink" Target="http://www.dfes.gov.uk/localauthorities/docs/DfES_Leagateway_document_244.doc#T1_123" TargetMode="External" /><Relationship Id="rId15" Type="http://schemas.openxmlformats.org/officeDocument/2006/relationships/hyperlink" Target="http://www.dfes.gov.uk/localauthorities/docs/DfES_Leagateway_document_244.doc#T1_124" TargetMode="External" /><Relationship Id="rId16" Type="http://schemas.openxmlformats.org/officeDocument/2006/relationships/hyperlink" Target="http://www.dfes.gov.uk/localauthorities/docs/DfES_Leagateway_document_244.doc#T1_125" TargetMode="External" /><Relationship Id="rId17" Type="http://schemas.openxmlformats.org/officeDocument/2006/relationships/hyperlink" Target="http://www.dfes.gov.uk/localauthorities/docs/DfES_Leagateway_document_244.doc#T1_126" TargetMode="External" /><Relationship Id="rId18" Type="http://schemas.openxmlformats.org/officeDocument/2006/relationships/hyperlink" Target="http://www.dfes.gov.uk/localauthorities/docs/DfES_Leagateway_document_244.doc#T1_127" TargetMode="External" /><Relationship Id="rId19" Type="http://schemas.openxmlformats.org/officeDocument/2006/relationships/hyperlink" Target="http://www.dfes.gov.uk/localauthorities/docs/DfES_Leagateway_document_244.doc#T1_128" TargetMode="External" /><Relationship Id="rId20" Type="http://schemas.openxmlformats.org/officeDocument/2006/relationships/hyperlink" Target="http://www.dfes.gov.uk/localauthorities/docs/DfES_Leagateway_document_244.doc#T1_131" TargetMode="External" /><Relationship Id="rId21" Type="http://schemas.openxmlformats.org/officeDocument/2006/relationships/hyperlink" Target="http://www.dfes.gov.uk/localauthorities/docs/DfES_Leagateway_document_244.doc#T1_132" TargetMode="External" /><Relationship Id="rId22" Type="http://schemas.openxmlformats.org/officeDocument/2006/relationships/hyperlink" Target="http://www.dfes.gov.uk/localauthorities/docs/DfES_Leagateway_document_244.doc#T1_133" TargetMode="External" /><Relationship Id="rId23" Type="http://schemas.openxmlformats.org/officeDocument/2006/relationships/hyperlink" Target="http://www.dfes.gov.uk/localauthorities/docs/DfES_Leagateway_document_244.doc#T1_134" TargetMode="External" /><Relationship Id="rId24" Type="http://schemas.openxmlformats.org/officeDocument/2006/relationships/hyperlink" Target="http://www.dfes.gov.uk/localauthorities/docs/DfES_Leagateway_document_244.doc#T1_141" TargetMode="External" /><Relationship Id="rId25" Type="http://schemas.openxmlformats.org/officeDocument/2006/relationships/hyperlink" Target="http://www.dfes.gov.uk/localauthorities/docs/DfES_Leagateway_document_244.doc#T1_142" TargetMode="External" /><Relationship Id="rId26" Type="http://schemas.openxmlformats.org/officeDocument/2006/relationships/hyperlink" Target="http://www.dfes.gov.uk/localauthorities/docs/DfES_Leagateway_document_244.doc#T1_143" TargetMode="External" /><Relationship Id="rId27" Type="http://schemas.openxmlformats.org/officeDocument/2006/relationships/hyperlink" Target="http://www.dfes.gov.uk/localauthorities/docs/DfES_Leagateway_document_244.doc#T1_144" TargetMode="External" /><Relationship Id="rId28" Type="http://schemas.openxmlformats.org/officeDocument/2006/relationships/hyperlink" Target="http://www.dfes.gov.uk/localauthorities/docs/DfES_Leagateway_document_244.doc#T1_151" TargetMode="External" /><Relationship Id="rId29" Type="http://schemas.openxmlformats.org/officeDocument/2006/relationships/hyperlink" Target="http://www.dfes.gov.uk/localauthorities/docs/DfES_Leagateway_document_244.doc#T1_152" TargetMode="External" /><Relationship Id="rId30" Type="http://schemas.openxmlformats.org/officeDocument/2006/relationships/hyperlink" Target="http://www.dfes.gov.uk/localauthorities/docs/DfES_Leagateway_document_244.doc#T1_153" TargetMode="External" /><Relationship Id="rId31" Type="http://schemas.openxmlformats.org/officeDocument/2006/relationships/hyperlink" Target="http://www.dfes.gov.uk/localauthorities/docs/DfES_Leagateway_document_244.doc#T1_154" TargetMode="External" /><Relationship Id="rId32" Type="http://schemas.openxmlformats.org/officeDocument/2006/relationships/hyperlink" Target="http://www.dfes.gov.uk/localauthorities/docs/DfES_Leagateway_document_244.doc#T1_155" TargetMode="External" /><Relationship Id="rId33" Type="http://schemas.openxmlformats.org/officeDocument/2006/relationships/hyperlink" Target="http://www.dfes.gov.uk/localauthorities/docs/DfES_Leagateway_document_244.doc#T1_156" TargetMode="External" /><Relationship Id="rId34" Type="http://schemas.openxmlformats.org/officeDocument/2006/relationships/hyperlink" Target="http://www.dfes.gov.uk/localauthorities/docs/DfES_Leagateway_document_244.doc#T1_157" TargetMode="External" /><Relationship Id="rId35" Type="http://schemas.openxmlformats.org/officeDocument/2006/relationships/hyperlink" Target="http://www.dfes.gov.uk/localauthorities/docs/DfES_Leagateway_document_244.doc#T1_158" TargetMode="External" /><Relationship Id="rId36" Type="http://schemas.openxmlformats.org/officeDocument/2006/relationships/hyperlink" Target="http://www.dfes.gov.uk/localauthorities/docs/DfES_Leagateway_document_244.doc#T1_159" TargetMode="External" /><Relationship Id="rId37" Type="http://schemas.openxmlformats.org/officeDocument/2006/relationships/hyperlink" Target="http://www.dfes.gov.uk/localauthorities/docs/DfES_Leagateway_document_244.doc#T1_1510" TargetMode="External" /><Relationship Id="rId38" Type="http://schemas.openxmlformats.org/officeDocument/2006/relationships/hyperlink" Target="http://www.dfes.gov.uk/localauthorities/docs/DfES_Leagateway_document_244.doc#T1_161" TargetMode="External" /><Relationship Id="rId39" Type="http://schemas.openxmlformats.org/officeDocument/2006/relationships/hyperlink" Target="http://www.dfes.gov.uk/localauthorities/docs/DfES_Leagateway_document_244.doc#T1_162" TargetMode="External" /><Relationship Id="rId40" Type="http://schemas.openxmlformats.org/officeDocument/2006/relationships/hyperlink" Target="http://www.dfes.gov.uk/localauthorities/docs/DfES_Leagateway_document_244.doc#T1_163" TargetMode="External" /><Relationship Id="rId41" Type="http://schemas.openxmlformats.org/officeDocument/2006/relationships/hyperlink" Target="http://www.dfes.gov.uk/localauthorities/docs/DfES_Leagateway_document_244.doc#T1_164" TargetMode="External" /><Relationship Id="rId42" Type="http://schemas.openxmlformats.org/officeDocument/2006/relationships/hyperlink" Target="http://www.dfes.gov.uk/localauthorities/docs/DfES_Leagateway_document_244.doc#T1_165" TargetMode="External" /><Relationship Id="rId43" Type="http://schemas.openxmlformats.org/officeDocument/2006/relationships/hyperlink" Target="http://www.dfes.gov.uk/localauthorities/docs/DfES_Leagateway_document_244.doc#T1_171" TargetMode="External" /><Relationship Id="rId44" Type="http://schemas.openxmlformats.org/officeDocument/2006/relationships/hyperlink" Target="http://www.dfes.gov.uk/localauthorities/docs/DfES_Leagateway_document_244.doc#T1_172" TargetMode="External" /><Relationship Id="rId45" Type="http://schemas.openxmlformats.org/officeDocument/2006/relationships/hyperlink" Target="http://www.dfes.gov.uk/localauthorities/docs/DfES_Leagateway_document_244.doc#T1_181" TargetMode="External" /><Relationship Id="rId46" Type="http://schemas.openxmlformats.org/officeDocument/2006/relationships/hyperlink" Target="http://www.dfes.gov.uk/localauthorities/docs/DfES_Leagateway_document_244.doc#T1_201" TargetMode="External" /><Relationship Id="rId47" Type="http://schemas.openxmlformats.org/officeDocument/2006/relationships/hyperlink" Target="http://www.dfes.gov.uk/localauthorities/docs/DfES_Leagateway_document_244.doc#T1_202" TargetMode="External" /><Relationship Id="rId48" Type="http://schemas.openxmlformats.org/officeDocument/2006/relationships/hyperlink" Target="http://www.dfes.gov.uk/localauthorities/docs/DfES_Leagateway_document_244.doc#T1_203" TargetMode="External" /><Relationship Id="rId49" Type="http://schemas.openxmlformats.org/officeDocument/2006/relationships/hyperlink" Target="http://www.dfes.gov.uk/localauthorities/docs/DfES_Leagateway_document_244.doc#T1_204" TargetMode="External" /><Relationship Id="rId50" Type="http://schemas.openxmlformats.org/officeDocument/2006/relationships/hyperlink" Target="http://www.dfes.gov.uk/localauthorities/docs/DfES_Leagateway_document_244.doc#T1_205" TargetMode="External" /><Relationship Id="rId51" Type="http://schemas.openxmlformats.org/officeDocument/2006/relationships/hyperlink" Target="http://www.dfes.gov.uk/localauthorities/docs/DfES_Leagateway_document_244.doc#T1_206" TargetMode="External" /><Relationship Id="rId52" Type="http://schemas.openxmlformats.org/officeDocument/2006/relationships/hyperlink" Target="http://www.dfes.gov.uk/localauthorities/docs/DfES_Leagateway_document_244.doc#T1_207" TargetMode="External" /><Relationship Id="rId53" Type="http://schemas.openxmlformats.org/officeDocument/2006/relationships/hyperlink" Target="http://www.dfes.gov.uk/localauthorities/docs/DfES_Leagateway_document_244.doc#T1_208" TargetMode="External" /><Relationship Id="rId54" Type="http://schemas.openxmlformats.org/officeDocument/2006/relationships/hyperlink" Target="http://www.dfes.gov.uk/localauthorities/docs/DfES_Leagateway_document_244.doc#T1_211" TargetMode="External" /><Relationship Id="rId55" Type="http://schemas.openxmlformats.org/officeDocument/2006/relationships/hyperlink" Target="http://www.dfes.gov.uk/localauthorities/docs/DfES_Leagateway_document_244.doc#T1_212" TargetMode="External" /><Relationship Id="rId56" Type="http://schemas.openxmlformats.org/officeDocument/2006/relationships/hyperlink" Target="http://www.dfes.gov.uk/localauthorities/docs/DfES_Leagateway_document_244.doc#T1_213" TargetMode="External" /><Relationship Id="rId57" Type="http://schemas.openxmlformats.org/officeDocument/2006/relationships/hyperlink" Target="http://www.dfes.gov.uk/localauthorities/docs/DfES_Leagateway_document_244.doc#T1_214" TargetMode="External" /><Relationship Id="rId58" Type="http://schemas.openxmlformats.org/officeDocument/2006/relationships/hyperlink" Target="http://www.dfes.gov.uk/localauthorities/docs/DfES_Leagateway_document_244.doc#T1_221" TargetMode="External" /><Relationship Id="rId59" Type="http://schemas.openxmlformats.org/officeDocument/2006/relationships/hyperlink" Target="http://www.dfes.gov.uk/localauthorities/docs/DfES_Leagateway_document_244.doc#T1_222" TargetMode="External" /><Relationship Id="rId60" Type="http://schemas.openxmlformats.org/officeDocument/2006/relationships/hyperlink" Target="http://www.dfes.gov.uk/localauthorities/docs/DfES_Leagateway_document_244.doc#T1_223" TargetMode="External" /><Relationship Id="rId61" Type="http://schemas.openxmlformats.org/officeDocument/2006/relationships/hyperlink" Target="http://www.dfes.gov.uk/localauthorities/docs/DfES_Leagateway_document_244.doc#T1_224" TargetMode="External" /><Relationship Id="rId62" Type="http://schemas.openxmlformats.org/officeDocument/2006/relationships/hyperlink" Target="http://www.dfes.gov.uk/localauthorities/docs/DfES_Leagateway_document_244.doc#T1_225" TargetMode="External" /><Relationship Id="rId63" Type="http://schemas.openxmlformats.org/officeDocument/2006/relationships/hyperlink" Target="http://www.dfes.gov.uk/localauthorities/docs/DfES_Leagateway_document_244.doc#T1_226" TargetMode="External" /><Relationship Id="rId64" Type="http://schemas.openxmlformats.org/officeDocument/2006/relationships/hyperlink" Target="http://www.dfes.gov.uk/localauthorities/docs/DfES_Leagateway_document_244.doc#T1_227" TargetMode="External" /><Relationship Id="rId65" Type="http://schemas.openxmlformats.org/officeDocument/2006/relationships/hyperlink" Target="http://www.dfes.gov.uk/localauthorities/docs/DfES_Leagateway_document_244.doc#T1_231" TargetMode="External" /><Relationship Id="rId66" Type="http://schemas.openxmlformats.org/officeDocument/2006/relationships/hyperlink" Target="http://www.dfes.gov.uk/localauthorities/docs/DfES_Leagateway_document_244.doc#T1_241" TargetMode="External" /><Relationship Id="rId67" Type="http://schemas.openxmlformats.org/officeDocument/2006/relationships/hyperlink" Target="http://www.dfes.gov.uk/localauthorities/docs/DfES_Leagateway_document_244.doc#T1_242" TargetMode="External" /><Relationship Id="rId68" Type="http://schemas.openxmlformats.org/officeDocument/2006/relationships/hyperlink" Target="http://www.dfes.gov.uk/localauthorities/docs/DfES_Leagateway_document_244.doc#T1_243" TargetMode="External" /><Relationship Id="rId69" Type="http://schemas.openxmlformats.org/officeDocument/2006/relationships/hyperlink" Target="http://www.dfes.gov.uk/localauthorities/docs/DfES_Leagateway_document_244.doc#T1_244" TargetMode="External" /><Relationship Id="rId70" Type="http://schemas.openxmlformats.org/officeDocument/2006/relationships/hyperlink" Target="http://www.dfes.gov.uk/localauthorities/docs/DfES_Leagateway_document_244.doc#T1_245" TargetMode="External" /><Relationship Id="rId71" Type="http://schemas.openxmlformats.org/officeDocument/2006/relationships/hyperlink" Target="http://www.dfes.gov.uk/localauthorities/docs/DfES_Leagateway_document_244.doc#T1_246" TargetMode="External" /><Relationship Id="rId72" Type="http://schemas.openxmlformats.org/officeDocument/2006/relationships/hyperlink" Target="http://www.dfes.gov.uk/localauthorities/docs/DfES_Leagateway_document_244.doc#T1_247" TargetMode="External" /><Relationship Id="rId73" Type="http://schemas.openxmlformats.org/officeDocument/2006/relationships/hyperlink" Target="http://www.dfes.gov.uk/localauthorities/docs/DfES_Leagateway_document_244.doc#T1_248" TargetMode="External" /><Relationship Id="rId74" Type="http://schemas.openxmlformats.org/officeDocument/2006/relationships/hyperlink" Target="http://www.dfes.gov.uk/localauthorities/docs/DfES_Leagateway_document_244.doc#T1_249" TargetMode="External" /><Relationship Id="rId75" Type="http://schemas.openxmlformats.org/officeDocument/2006/relationships/hyperlink" Target="http://www.dfes.gov.uk/localauthorities/docs/DfES_Leagateway_document_244.doc#T1_2410" TargetMode="External" /><Relationship Id="rId76" Type="http://schemas.openxmlformats.org/officeDocument/2006/relationships/hyperlink" Target="http://www.dfes.gov.uk/localauthorities/docs/DfES_Leagateway_document_244.doc#T1_2411" TargetMode="External" /><Relationship Id="rId77" Type="http://schemas.openxmlformats.org/officeDocument/2006/relationships/hyperlink" Target="http://www.dfes.gov.uk/localauthorities/docs/DfES_Leagateway_document_244.doc#T1_2412" TargetMode="External" /><Relationship Id="rId78" Type="http://schemas.openxmlformats.org/officeDocument/2006/relationships/hyperlink" Target="http://www.dfes.gov.uk/localauthorities/docs/DfES_Leagateway_document_244.doc#T1_2413" TargetMode="External" /><Relationship Id="rId79" Type="http://schemas.openxmlformats.org/officeDocument/2006/relationships/hyperlink" Target="http://www.dfes.gov.uk/localauthorities/docs/DfES_Leagateway_document_244.doc#T1_2414" TargetMode="External" /><Relationship Id="rId80" Type="http://schemas.openxmlformats.org/officeDocument/2006/relationships/hyperlink" Target="http://www.dfes.gov.uk/localauthorities/docs/DfES_Leagateway_document_244.doc#T1_251" TargetMode="External" /><Relationship Id="rId81" Type="http://schemas.openxmlformats.org/officeDocument/2006/relationships/hyperlink" Target="http://www.dfes.gov.uk/localauthorities/docs/DfES_Leagateway_document_244.doc#T1_261" TargetMode="External" /><Relationship Id="rId82" Type="http://schemas.openxmlformats.org/officeDocument/2006/relationships/hyperlink" Target="http://www.dfes.gov.uk/localauthorities/docs/DfES_Leagateway_document_244.doc#T1_271" TargetMode="External" /><Relationship Id="rId83" Type="http://schemas.openxmlformats.org/officeDocument/2006/relationships/hyperlink" Target="http://www.dfes.gov.uk/localauthorities/docs/DfES_Leagateway_document_244.doc#T1_272" TargetMode="External" /><Relationship Id="rId84" Type="http://schemas.openxmlformats.org/officeDocument/2006/relationships/hyperlink" Target="http://www.dfes.gov.uk/localauthorities/docs/DfES_Leagateway_document_244.doc#T1_273" TargetMode="External" /><Relationship Id="rId85" Type="http://schemas.openxmlformats.org/officeDocument/2006/relationships/hyperlink" Target="http://www.dfes.gov.uk/localauthorities/docs/DfES_Leagateway_document_244.doc#T1_274" TargetMode="External" /><Relationship Id="rId86" Type="http://schemas.openxmlformats.org/officeDocument/2006/relationships/hyperlink" Target="http://www.dfes.gov.uk/localauthorities/docs/DfES_Leagateway_document_244.doc#T1_275" TargetMode="External" /><Relationship Id="rId87" Type="http://schemas.openxmlformats.org/officeDocument/2006/relationships/hyperlink" Target="http://www.dfes.gov.uk/localauthorities/docs/DfES_Leagateway_document_244.doc#T1_276" TargetMode="External" /><Relationship Id="rId88" Type="http://schemas.openxmlformats.org/officeDocument/2006/relationships/hyperlink" Target="http://www.dfes.gov.uk/localauthorities/docs/DfES_Leagateway_document_244.doc#T1_277" TargetMode="External" /><Relationship Id="rId89" Type="http://schemas.openxmlformats.org/officeDocument/2006/relationships/hyperlink" Target="http://www.dfes.gov.uk/localauthorities/docs/DfES_Leagateway_document_244.doc#T1_281" TargetMode="External" /><Relationship Id="rId90" Type="http://schemas.openxmlformats.org/officeDocument/2006/relationships/hyperlink" Target="http://www.dfes.gov.uk/localauthorities/docs/DfES_Leagateway_document_244.doc#T1_3" TargetMode="External" /><Relationship Id="rId91" Type="http://schemas.openxmlformats.org/officeDocument/2006/relationships/hyperlink" Target="http://www.dfes.gov.uk/localauthorities/docs/DfES_Leagateway_document_244.doc#T1_4" TargetMode="External" /><Relationship Id="rId92" Type="http://schemas.openxmlformats.org/officeDocument/2006/relationships/hyperlink" Target="http://www.dfes.gov.uk/localauthorities/docs/DfES_Leagateway_document_244.doc#T1_5" TargetMode="External" /><Relationship Id="rId93" Type="http://schemas.openxmlformats.org/officeDocument/2006/relationships/hyperlink" Target="http://www.dfes.gov.uk/localauthorities/docs/DfES_Leagateway_document_244.doc#T1_5a1" TargetMode="External" /><Relationship Id="rId94" Type="http://schemas.openxmlformats.org/officeDocument/2006/relationships/hyperlink" Target="http://www.dfes.gov.uk/localauthorities/docs/DfES_Leagateway_document_244.doc#T1_5a2" TargetMode="External" /><Relationship Id="rId95" Type="http://schemas.openxmlformats.org/officeDocument/2006/relationships/hyperlink" Target="http://www.dfes.gov.uk/localauthorities/docs/DfES_Leagateway_document_244.doc#T1_5b1" TargetMode="External" /><Relationship Id="rId96" Type="http://schemas.openxmlformats.org/officeDocument/2006/relationships/hyperlink" Target="http://www.dfes.gov.uk/localauthorities/docs/DfES_Leagateway_document_244.doc#T1_5b2" TargetMode="External" /><Relationship Id="rId97" Type="http://schemas.openxmlformats.org/officeDocument/2006/relationships/hyperlink" Target="http://www.dfes.gov.uk/localauthorities/docs/DfES_Leagateway_document_244.doc#T1_5b3" TargetMode="External" /><Relationship Id="rId98" Type="http://schemas.openxmlformats.org/officeDocument/2006/relationships/hyperlink" Target="http://www.dfes.gov.uk/localauthorities/docs/DfES_Leagateway_document_244.doc#T1_5b4" TargetMode="External" /><Relationship Id="rId99" Type="http://schemas.openxmlformats.org/officeDocument/2006/relationships/hyperlink" Target="http://www.dfes.gov.uk/localauthorities/docs/DfES_Leagateway_document_244.doc#T1_5c1" TargetMode="External" /><Relationship Id="rId100" Type="http://schemas.openxmlformats.org/officeDocument/2006/relationships/hyperlink" Target="http://www.dfes.gov.uk/localauthorities/docs/DfES_Leagateway_document_244.doc#T1_5c2" TargetMode="External" /></Relationships>
</file>

<file path=xl/worksheets/sheet1.xml><?xml version="1.0" encoding="utf-8"?>
<worksheet xmlns="http://schemas.openxmlformats.org/spreadsheetml/2006/main" xmlns:r="http://schemas.openxmlformats.org/officeDocument/2006/relationships">
  <dimension ref="A1:L24"/>
  <sheetViews>
    <sheetView workbookViewId="0" topLeftCell="A1">
      <pane xSplit="4" ySplit="4" topLeftCell="E5" activePane="bottomRight" state="frozen"/>
      <selection pane="topLeft" activeCell="A1" sqref="A1"/>
      <selection pane="topRight" activeCell="E1" sqref="E1"/>
      <selection pane="bottomLeft" activeCell="A5" sqref="A5"/>
      <selection pane="bottomRight" activeCell="E5" sqref="E5"/>
    </sheetView>
  </sheetViews>
  <sheetFormatPr defaultColWidth="9.140625" defaultRowHeight="12"/>
  <cols>
    <col min="1" max="1" width="9.57421875" style="407" customWidth="1"/>
    <col min="2" max="2" width="33.421875" style="407" customWidth="1"/>
    <col min="3" max="3" width="13.28125" style="407" customWidth="1"/>
    <col min="4" max="4" width="15.57421875" style="407" customWidth="1"/>
    <col min="5" max="5" width="2.8515625" style="407" customWidth="1"/>
    <col min="6" max="6" width="15.57421875" style="407" customWidth="1"/>
    <col min="7" max="7" width="3.421875" style="407" customWidth="1"/>
    <col min="8" max="8" width="15.57421875" style="407" customWidth="1"/>
    <col min="9" max="9" width="2.57421875" style="407" customWidth="1"/>
    <col min="10" max="10" width="15.57421875" style="407" customWidth="1"/>
    <col min="11" max="11" width="9.7109375" style="407" customWidth="1"/>
    <col min="12" max="12" width="17.57421875" style="407" customWidth="1"/>
    <col min="13" max="16384" width="9.140625" style="407" customWidth="1"/>
  </cols>
  <sheetData>
    <row r="1" spans="1:12" ht="12.75" thickBot="1">
      <c r="A1" s="516" t="s">
        <v>799</v>
      </c>
      <c r="B1" s="517"/>
      <c r="C1" s="517"/>
      <c r="D1" s="517"/>
      <c r="E1" s="517"/>
      <c r="F1" s="517"/>
      <c r="G1" s="517"/>
      <c r="H1" s="517"/>
      <c r="I1" s="517"/>
      <c r="J1" s="518"/>
      <c r="K1" s="411"/>
      <c r="L1" s="411"/>
    </row>
    <row r="2" spans="1:12" ht="13.5" customHeight="1" thickBot="1">
      <c r="A2" s="516" t="s">
        <v>16</v>
      </c>
      <c r="B2" s="517"/>
      <c r="C2" s="517"/>
      <c r="D2" s="517"/>
      <c r="E2" s="517"/>
      <c r="F2" s="517"/>
      <c r="G2" s="517"/>
      <c r="H2" s="517"/>
      <c r="I2" s="517"/>
      <c r="J2" s="518"/>
      <c r="K2" s="415"/>
      <c r="L2" s="415"/>
    </row>
    <row r="3" spans="1:12" ht="30" customHeight="1">
      <c r="A3" s="515" t="s">
        <v>18</v>
      </c>
      <c r="B3" s="515"/>
      <c r="C3" s="515"/>
      <c r="D3" s="515"/>
      <c r="E3" s="515"/>
      <c r="F3" s="515"/>
      <c r="G3" s="515"/>
      <c r="H3" s="515"/>
      <c r="I3" s="515"/>
      <c r="J3" s="515"/>
      <c r="K3" s="515"/>
      <c r="L3" s="515"/>
    </row>
    <row r="4" spans="4:12" ht="47.25" customHeight="1">
      <c r="D4" s="399"/>
      <c r="E4" s="399"/>
      <c r="F4" s="399" t="s">
        <v>19</v>
      </c>
      <c r="H4" s="399" t="s">
        <v>17</v>
      </c>
      <c r="I4" s="399"/>
      <c r="J4" s="399" t="s">
        <v>20</v>
      </c>
      <c r="L4" s="399"/>
    </row>
    <row r="5" spans="4:12" ht="12">
      <c r="D5" s="400"/>
      <c r="E5" s="400"/>
      <c r="F5" s="400" t="s">
        <v>21</v>
      </c>
      <c r="H5" s="400" t="s">
        <v>22</v>
      </c>
      <c r="I5" s="400"/>
      <c r="J5" s="400" t="s">
        <v>23</v>
      </c>
      <c r="L5" s="400"/>
    </row>
    <row r="7" spans="1:12" ht="22.5" customHeight="1">
      <c r="A7" s="514" t="s">
        <v>24</v>
      </c>
      <c r="B7" s="514"/>
      <c r="C7" s="514"/>
      <c r="D7" s="514"/>
      <c r="E7" s="408"/>
      <c r="F7" s="401">
        <v>34533.83</v>
      </c>
      <c r="H7" s="402">
        <v>33996.726422913845</v>
      </c>
      <c r="I7" s="409"/>
      <c r="J7" s="402">
        <v>33044</v>
      </c>
      <c r="K7" s="410"/>
      <c r="L7" s="403"/>
    </row>
    <row r="8" spans="4:12" ht="12">
      <c r="D8" s="410"/>
      <c r="J8" s="410"/>
      <c r="K8" s="410"/>
      <c r="L8" s="410"/>
    </row>
    <row r="9" spans="1:12" ht="22.5" customHeight="1">
      <c r="A9" s="514" t="s">
        <v>25</v>
      </c>
      <c r="B9" s="514"/>
      <c r="C9" s="514"/>
      <c r="D9" s="514"/>
      <c r="E9" s="411"/>
      <c r="F9" s="404">
        <v>3141.81</v>
      </c>
      <c r="H9" s="404">
        <v>3341.91</v>
      </c>
      <c r="I9" s="411"/>
      <c r="J9" s="404">
        <v>3556.48</v>
      </c>
      <c r="K9" s="410"/>
      <c r="L9" s="403"/>
    </row>
    <row r="10" spans="4:12" ht="12">
      <c r="D10" s="410"/>
      <c r="K10" s="410"/>
      <c r="L10" s="410"/>
    </row>
    <row r="11" spans="1:12" ht="22.5" customHeight="1">
      <c r="A11" s="514" t="s">
        <v>26</v>
      </c>
      <c r="B11" s="514"/>
      <c r="C11" s="514"/>
      <c r="D11" s="514"/>
      <c r="E11" s="411"/>
      <c r="F11" s="404">
        <v>108498905.66</v>
      </c>
      <c r="H11" s="404">
        <f>IF(ISERROR(H7*H9),0,H7*H9)</f>
        <v>113614000</v>
      </c>
      <c r="I11" s="411"/>
      <c r="J11" s="404">
        <f>IF(ISERROR(J7*J9),0,J7*J9)</f>
        <v>117520325.12</v>
      </c>
      <c r="K11" s="410"/>
      <c r="L11" s="403"/>
    </row>
    <row r="12" spans="4:12" ht="12">
      <c r="D12" s="410"/>
      <c r="K12" s="410"/>
      <c r="L12" s="410"/>
    </row>
    <row r="13" spans="1:12" ht="22.5" customHeight="1">
      <c r="A13" s="514" t="s">
        <v>27</v>
      </c>
      <c r="B13" s="514"/>
      <c r="C13" s="514"/>
      <c r="D13" s="514"/>
      <c r="E13" s="411"/>
      <c r="F13" s="412"/>
      <c r="G13" s="413"/>
      <c r="H13" s="439">
        <v>5265655</v>
      </c>
      <c r="I13" s="440"/>
      <c r="J13" s="439">
        <v>5983206</v>
      </c>
      <c r="K13" s="410"/>
      <c r="L13" s="410"/>
    </row>
    <row r="14" spans="4:12" ht="12">
      <c r="D14" s="410"/>
      <c r="H14" s="1"/>
      <c r="I14" s="1"/>
      <c r="J14" s="1"/>
      <c r="K14" s="410"/>
      <c r="L14" s="410"/>
    </row>
    <row r="15" spans="1:12" ht="22.5" customHeight="1">
      <c r="A15" s="514" t="s">
        <v>28</v>
      </c>
      <c r="B15" s="514"/>
      <c r="C15" s="514"/>
      <c r="D15" s="514"/>
      <c r="E15" s="411"/>
      <c r="F15" s="412"/>
      <c r="H15" s="439">
        <v>8440743</v>
      </c>
      <c r="I15" s="440"/>
      <c r="J15" s="439">
        <v>8699061</v>
      </c>
      <c r="K15" s="410"/>
      <c r="L15" s="410"/>
    </row>
    <row r="16" spans="4:12" ht="12">
      <c r="D16" s="410"/>
      <c r="H16" s="1"/>
      <c r="I16" s="1"/>
      <c r="J16" s="1"/>
      <c r="K16" s="410"/>
      <c r="L16" s="410"/>
    </row>
    <row r="17" spans="1:12" ht="22.5" customHeight="1">
      <c r="A17" s="514" t="s">
        <v>29</v>
      </c>
      <c r="B17" s="514"/>
      <c r="C17" s="514"/>
      <c r="D17" s="514"/>
      <c r="E17" s="408"/>
      <c r="F17" s="414"/>
      <c r="H17" s="439">
        <v>2233763</v>
      </c>
      <c r="I17" s="440"/>
      <c r="J17" s="439">
        <v>2050267</v>
      </c>
      <c r="K17" s="410"/>
      <c r="L17" s="410"/>
    </row>
    <row r="18" spans="1:12" ht="12.75" customHeight="1">
      <c r="A18" s="405"/>
      <c r="B18" s="405"/>
      <c r="C18" s="406"/>
      <c r="D18" s="410"/>
      <c r="E18" s="408"/>
      <c r="F18" s="408"/>
      <c r="H18" s="440"/>
      <c r="I18" s="440"/>
      <c r="J18" s="440"/>
      <c r="K18" s="410"/>
      <c r="L18" s="410"/>
    </row>
    <row r="19" spans="1:12" ht="22.5" customHeight="1">
      <c r="A19" s="514" t="s">
        <v>30</v>
      </c>
      <c r="B19" s="514"/>
      <c r="C19" s="514"/>
      <c r="D19" s="514"/>
      <c r="E19" s="408"/>
      <c r="F19" s="414"/>
      <c r="H19" s="439">
        <v>3467283</v>
      </c>
      <c r="I19" s="440"/>
      <c r="J19" s="439">
        <v>3743698</v>
      </c>
      <c r="K19" s="410"/>
      <c r="L19" s="410"/>
    </row>
    <row r="20" spans="1:12" ht="12.75" customHeight="1">
      <c r="A20" s="405"/>
      <c r="B20" s="405"/>
      <c r="C20" s="406"/>
      <c r="D20" s="410"/>
      <c r="E20" s="408"/>
      <c r="F20" s="408"/>
      <c r="H20" s="440"/>
      <c r="I20" s="440"/>
      <c r="J20" s="440"/>
      <c r="K20" s="410"/>
      <c r="L20" s="410"/>
    </row>
    <row r="21" spans="1:12" ht="22.5" customHeight="1">
      <c r="A21" s="514" t="s">
        <v>31</v>
      </c>
      <c r="B21" s="514"/>
      <c r="C21" s="514"/>
      <c r="D21" s="514"/>
      <c r="E21" s="408"/>
      <c r="F21" s="414"/>
      <c r="H21" s="439">
        <v>0</v>
      </c>
      <c r="I21" s="440"/>
      <c r="J21" s="439">
        <v>0</v>
      </c>
      <c r="K21" s="410"/>
      <c r="L21" s="410"/>
    </row>
    <row r="22" spans="4:12" ht="12">
      <c r="D22" s="410"/>
      <c r="K22" s="410"/>
      <c r="L22" s="410"/>
    </row>
    <row r="23" spans="1:12" ht="22.5" customHeight="1">
      <c r="A23" s="514" t="s">
        <v>32</v>
      </c>
      <c r="B23" s="514"/>
      <c r="C23" s="514"/>
      <c r="D23" s="514"/>
      <c r="E23" s="408"/>
      <c r="F23" s="414"/>
      <c r="H23" s="404">
        <f>SUM(H11:H21)</f>
        <v>133021444</v>
      </c>
      <c r="I23" s="411"/>
      <c r="J23" s="401">
        <f>SUM(J11:J21)</f>
        <v>137996557.12</v>
      </c>
      <c r="K23" s="410"/>
      <c r="L23" s="410"/>
    </row>
    <row r="24" spans="4:12" ht="12">
      <c r="D24" s="410"/>
      <c r="K24" s="410"/>
      <c r="L24" s="410"/>
    </row>
  </sheetData>
  <mergeCells count="12">
    <mergeCell ref="A23:D23"/>
    <mergeCell ref="A1:J1"/>
    <mergeCell ref="A2:J2"/>
    <mergeCell ref="A19:D19"/>
    <mergeCell ref="A21:D21"/>
    <mergeCell ref="A15:D15"/>
    <mergeCell ref="A17:D17"/>
    <mergeCell ref="A11:D11"/>
    <mergeCell ref="A13:D13"/>
    <mergeCell ref="A7:D7"/>
    <mergeCell ref="A9:D9"/>
    <mergeCell ref="A3:L3"/>
  </mergeCells>
  <conditionalFormatting sqref="H7 J7 H23">
    <cfRule type="expression" priority="1" dxfId="0" stopIfTrue="1">
      <formula>AND(LEFT(#REF!,1)="E",H7="")</formula>
    </cfRule>
    <cfRule type="expression" priority="2" dxfId="1" stopIfTrue="1">
      <formula>LEFT(#REF!,1)="E"</formula>
    </cfRule>
    <cfRule type="expression" priority="3" dxfId="2" stopIfTrue="1">
      <formula>LEFT(#REF!,1)="W"</formula>
    </cfRule>
  </conditionalFormatting>
  <conditionalFormatting sqref="H13 H15 H17 H19 H21 J13 J15 J17 J19 J21">
    <cfRule type="expression" priority="4" dxfId="0" stopIfTrue="1">
      <formula>AND(LEFT(V13,1)="E",H13="")</formula>
    </cfRule>
    <cfRule type="expression" priority="5" dxfId="1" stopIfTrue="1">
      <formula>LEFT(V13,1)="E"</formula>
    </cfRule>
    <cfRule type="expression" priority="6" dxfId="2" stopIfTrue="1">
      <formula>LEFT(V13,1)="W"</formula>
    </cfRule>
  </conditionalFormatting>
  <printOptions/>
  <pageMargins left="0.35" right="0.28" top="0.4" bottom="0.33" header="0.22" footer="0.1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166"/>
  <sheetViews>
    <sheetView workbookViewId="0" topLeftCell="A1">
      <pane xSplit="6" ySplit="5" topLeftCell="G6" activePane="bottomRight" state="frozen"/>
      <selection pane="topLeft" activeCell="A1" sqref="A1"/>
      <selection pane="topRight" activeCell="G1" sqref="G1"/>
      <selection pane="bottomLeft" activeCell="A6" sqref="A6"/>
      <selection pane="bottomRight" activeCell="G6" sqref="G6"/>
    </sheetView>
  </sheetViews>
  <sheetFormatPr defaultColWidth="9.140625" defaultRowHeight="12"/>
  <cols>
    <col min="1" max="1" width="2.140625" style="1" customWidth="1"/>
    <col min="2" max="2" width="6.00390625" style="1" customWidth="1"/>
    <col min="3" max="3" width="29.28125" style="1" customWidth="1"/>
    <col min="4" max="4" width="11.57421875" style="1" customWidth="1"/>
    <col min="5" max="5" width="18.00390625" style="1" customWidth="1"/>
    <col min="6" max="6" width="0.71875" style="1" customWidth="1"/>
    <col min="7" max="7" width="11.57421875" style="1" customWidth="1"/>
    <col min="8" max="8" width="0.71875" style="1" customWidth="1"/>
    <col min="9" max="9" width="11.57421875" style="1" customWidth="1"/>
    <col min="10" max="10" width="0.71875" style="1" customWidth="1"/>
    <col min="11" max="11" width="11.57421875" style="1" customWidth="1"/>
    <col min="12" max="12" width="0.71875" style="1" customWidth="1"/>
    <col min="13" max="13" width="11.57421875" style="1" customWidth="1"/>
    <col min="14" max="14" width="0.71875" style="1" customWidth="1"/>
    <col min="15" max="15" width="11.57421875" style="1" customWidth="1"/>
    <col min="16" max="16" width="0.71875" style="1" customWidth="1"/>
    <col min="17" max="17" width="11.57421875" style="1" customWidth="1"/>
    <col min="18" max="18" width="0.71875" style="1" customWidth="1"/>
    <col min="19" max="19" width="11.57421875" style="1" customWidth="1"/>
    <col min="20" max="16384" width="9.140625" style="1" customWidth="1"/>
  </cols>
  <sheetData>
    <row r="1" spans="1:19" ht="12.75">
      <c r="A1" s="502" t="str">
        <f>+SBST!$A$1</f>
        <v>SOLIHULL SECTION 52 EDUCATION BUDGET STATEMENT 2006-07 Version 3 Published 3 August 2006</v>
      </c>
      <c r="B1" s="503"/>
      <c r="C1" s="503"/>
      <c r="D1" s="503"/>
      <c r="E1" s="503"/>
      <c r="F1" s="503"/>
      <c r="G1" s="503"/>
      <c r="H1" s="503"/>
      <c r="I1" s="503"/>
      <c r="J1" s="503"/>
      <c r="K1" s="503"/>
      <c r="L1" s="503"/>
      <c r="M1" s="503"/>
      <c r="N1" s="503"/>
      <c r="O1" s="503"/>
      <c r="P1" s="503"/>
      <c r="Q1" s="503"/>
      <c r="R1" s="503"/>
      <c r="S1" s="503"/>
    </row>
    <row r="2" spans="1:19" ht="12.75" customHeight="1">
      <c r="A2" s="503" t="s">
        <v>34</v>
      </c>
      <c r="B2" s="503"/>
      <c r="C2" s="503"/>
      <c r="D2" s="503"/>
      <c r="E2" s="503"/>
      <c r="F2" s="503"/>
      <c r="G2" s="503"/>
      <c r="H2" s="503"/>
      <c r="I2" s="503"/>
      <c r="J2" s="503"/>
      <c r="K2" s="503"/>
      <c r="L2" s="503"/>
      <c r="M2" s="503"/>
      <c r="N2" s="503"/>
      <c r="O2" s="503"/>
      <c r="P2" s="503"/>
      <c r="Q2" s="503"/>
      <c r="R2" s="503"/>
      <c r="S2" s="503"/>
    </row>
    <row r="4" spans="7:19" ht="12" customHeight="1">
      <c r="G4" s="4" t="s">
        <v>35</v>
      </c>
      <c r="I4" s="4" t="s">
        <v>36</v>
      </c>
      <c r="K4" s="4" t="s">
        <v>37</v>
      </c>
      <c r="M4" s="4" t="s">
        <v>38</v>
      </c>
      <c r="O4" s="4" t="s">
        <v>39</v>
      </c>
      <c r="Q4" s="4" t="s">
        <v>40</v>
      </c>
      <c r="S4" s="4" t="s">
        <v>41</v>
      </c>
    </row>
    <row r="5" spans="7:19" ht="12">
      <c r="G5" s="4" t="s">
        <v>21</v>
      </c>
      <c r="I5" s="4" t="s">
        <v>22</v>
      </c>
      <c r="K5" s="4" t="s">
        <v>23</v>
      </c>
      <c r="M5" s="4" t="s">
        <v>43</v>
      </c>
      <c r="O5" s="4" t="s">
        <v>44</v>
      </c>
      <c r="Q5" s="4" t="s">
        <v>45</v>
      </c>
      <c r="S5" s="4" t="s">
        <v>46</v>
      </c>
    </row>
    <row r="6" spans="2:5" ht="12">
      <c r="B6" s="7">
        <v>1</v>
      </c>
      <c r="C6" s="501" t="s">
        <v>42</v>
      </c>
      <c r="D6" s="501"/>
      <c r="E6" s="501"/>
    </row>
    <row r="7" spans="2:19" ht="12">
      <c r="B7" s="10" t="s">
        <v>47</v>
      </c>
      <c r="C7" s="508" t="s">
        <v>48</v>
      </c>
      <c r="D7" s="508"/>
      <c r="E7" s="508"/>
      <c r="F7" s="11"/>
      <c r="G7" s="12">
        <v>0</v>
      </c>
      <c r="I7" s="12">
        <v>50568010</v>
      </c>
      <c r="K7" s="12">
        <v>49699174</v>
      </c>
      <c r="M7" s="12">
        <v>4967467</v>
      </c>
      <c r="O7" s="13">
        <f>SUM(G7:M7)</f>
        <v>105234651</v>
      </c>
      <c r="Q7" s="14"/>
      <c r="S7" s="13">
        <f>IF(ISERROR(O7-Q7),0,O7-Q7)</f>
        <v>105234651</v>
      </c>
    </row>
    <row r="8" spans="2:19" ht="12">
      <c r="B8" s="15" t="s">
        <v>49</v>
      </c>
      <c r="C8" s="508" t="s">
        <v>50</v>
      </c>
      <c r="D8" s="508"/>
      <c r="E8" s="508"/>
      <c r="F8" s="11"/>
      <c r="G8" s="12">
        <v>0</v>
      </c>
      <c r="I8" s="12">
        <v>2800320</v>
      </c>
      <c r="K8" s="12">
        <v>2148014</v>
      </c>
      <c r="M8" s="12">
        <v>212321</v>
      </c>
      <c r="O8" s="13">
        <f aca="true" t="shared" si="0" ref="O8:O27">SUM(G8:M8)</f>
        <v>5160655</v>
      </c>
      <c r="Q8" s="12">
        <f>+O8</f>
        <v>5160655</v>
      </c>
      <c r="S8" s="13">
        <f aca="true" t="shared" si="1" ref="S8:S27">IF(ISERROR(O8-Q8),0,O8-Q8)</f>
        <v>0</v>
      </c>
    </row>
    <row r="9" spans="2:19" ht="12">
      <c r="B9" s="15" t="s">
        <v>51</v>
      </c>
      <c r="C9" s="508" t="s">
        <v>52</v>
      </c>
      <c r="D9" s="508"/>
      <c r="E9" s="508"/>
      <c r="F9" s="11"/>
      <c r="G9" s="12">
        <v>0</v>
      </c>
      <c r="I9" s="12">
        <v>18173</v>
      </c>
      <c r="K9" s="12">
        <v>86827</v>
      </c>
      <c r="M9" s="12">
        <v>0</v>
      </c>
      <c r="O9" s="13">
        <f t="shared" si="0"/>
        <v>105000</v>
      </c>
      <c r="Q9" s="12">
        <f>+O9</f>
        <v>105000</v>
      </c>
      <c r="S9" s="13">
        <f t="shared" si="1"/>
        <v>0</v>
      </c>
    </row>
    <row r="10" spans="2:19" ht="12">
      <c r="B10" s="16" t="s">
        <v>53</v>
      </c>
      <c r="C10" s="508" t="s">
        <v>54</v>
      </c>
      <c r="D10" s="508"/>
      <c r="E10" s="508"/>
      <c r="F10" s="11"/>
      <c r="G10" s="12">
        <v>0</v>
      </c>
      <c r="I10" s="12">
        <v>2808985</v>
      </c>
      <c r="K10" s="12">
        <v>4178803</v>
      </c>
      <c r="M10" s="12">
        <v>156335</v>
      </c>
      <c r="O10" s="13">
        <f t="shared" si="0"/>
        <v>7144123</v>
      </c>
      <c r="Q10" s="12">
        <f>+O10</f>
        <v>7144123</v>
      </c>
      <c r="S10" s="13">
        <f t="shared" si="1"/>
        <v>0</v>
      </c>
    </row>
    <row r="11" spans="2:20" ht="12">
      <c r="B11" s="16" t="s">
        <v>55</v>
      </c>
      <c r="C11" s="508" t="s">
        <v>56</v>
      </c>
      <c r="D11" s="508"/>
      <c r="E11" s="508"/>
      <c r="F11" s="11"/>
      <c r="G11" s="12">
        <v>0</v>
      </c>
      <c r="I11" s="12">
        <v>594022</v>
      </c>
      <c r="K11" s="12">
        <v>779632</v>
      </c>
      <c r="M11" s="12">
        <v>5000</v>
      </c>
      <c r="O11" s="13">
        <f t="shared" si="0"/>
        <v>1378654</v>
      </c>
      <c r="Q11" s="12">
        <f>+O11</f>
        <v>1378654</v>
      </c>
      <c r="S11" s="13">
        <f t="shared" si="1"/>
        <v>0</v>
      </c>
      <c r="T11" s="486"/>
    </row>
    <row r="12" spans="2:19" ht="12">
      <c r="B12" s="16" t="s">
        <v>57</v>
      </c>
      <c r="C12" s="508" t="s">
        <v>58</v>
      </c>
      <c r="D12" s="508"/>
      <c r="E12" s="508"/>
      <c r="F12" s="11"/>
      <c r="G12" s="12">
        <v>0</v>
      </c>
      <c r="I12" s="12">
        <v>81152</v>
      </c>
      <c r="K12" s="12">
        <v>28517</v>
      </c>
      <c r="M12" s="12">
        <v>5543</v>
      </c>
      <c r="O12" s="13">
        <f t="shared" si="0"/>
        <v>115212</v>
      </c>
      <c r="Q12" s="12">
        <f>+O12</f>
        <v>115212</v>
      </c>
      <c r="S12" s="13">
        <f t="shared" si="1"/>
        <v>0</v>
      </c>
    </row>
    <row r="13" spans="2:19" ht="12">
      <c r="B13" s="16" t="s">
        <v>59</v>
      </c>
      <c r="C13" s="508" t="s">
        <v>60</v>
      </c>
      <c r="D13" s="508"/>
      <c r="E13" s="508"/>
      <c r="F13" s="11"/>
      <c r="G13" s="12">
        <v>0</v>
      </c>
      <c r="I13" s="12">
        <v>0</v>
      </c>
      <c r="K13" s="12">
        <v>0</v>
      </c>
      <c r="M13" s="12">
        <v>0</v>
      </c>
      <c r="O13" s="13">
        <f t="shared" si="0"/>
        <v>0</v>
      </c>
      <c r="Q13" s="12">
        <v>0</v>
      </c>
      <c r="S13" s="13">
        <f t="shared" si="1"/>
        <v>0</v>
      </c>
    </row>
    <row r="14" spans="2:19" ht="12">
      <c r="B14" s="16" t="s">
        <v>61</v>
      </c>
      <c r="C14" s="508" t="s">
        <v>62</v>
      </c>
      <c r="D14" s="508"/>
      <c r="E14" s="508"/>
      <c r="F14" s="11"/>
      <c r="G14" s="12">
        <v>0</v>
      </c>
      <c r="I14" s="12">
        <v>0</v>
      </c>
      <c r="K14" s="12">
        <v>0</v>
      </c>
      <c r="M14" s="12">
        <v>0</v>
      </c>
      <c r="O14" s="13">
        <f>SUM(G14:M14)</f>
        <v>0</v>
      </c>
      <c r="Q14" s="12">
        <v>0</v>
      </c>
      <c r="S14" s="13">
        <f>IF(ISERROR(O14-Q14),0,O14-Q14)</f>
        <v>0</v>
      </c>
    </row>
    <row r="15" spans="2:7" ht="12">
      <c r="B15" s="9"/>
      <c r="C15" s="17"/>
      <c r="D15" s="17"/>
      <c r="E15" s="17"/>
      <c r="F15" s="11"/>
      <c r="G15" s="11"/>
    </row>
    <row r="16" spans="2:19" ht="12">
      <c r="B16" s="18" t="s">
        <v>63</v>
      </c>
      <c r="C16" s="508" t="s">
        <v>64</v>
      </c>
      <c r="D16" s="508"/>
      <c r="E16" s="508"/>
      <c r="F16" s="19"/>
      <c r="G16" s="12">
        <v>0</v>
      </c>
      <c r="I16" s="12">
        <v>0</v>
      </c>
      <c r="K16" s="12">
        <v>0</v>
      </c>
      <c r="M16" s="12">
        <v>0</v>
      </c>
      <c r="O16" s="13">
        <f t="shared" si="0"/>
        <v>0</v>
      </c>
      <c r="Q16" s="12">
        <v>0</v>
      </c>
      <c r="S16" s="13">
        <f t="shared" si="1"/>
        <v>0</v>
      </c>
    </row>
    <row r="17" spans="2:19" ht="12">
      <c r="B17" s="18" t="s">
        <v>65</v>
      </c>
      <c r="C17" s="508" t="s">
        <v>66</v>
      </c>
      <c r="D17" s="508"/>
      <c r="E17" s="508"/>
      <c r="F17" s="19"/>
      <c r="G17" s="12">
        <v>0</v>
      </c>
      <c r="I17" s="12">
        <v>523746</v>
      </c>
      <c r="K17" s="12">
        <v>109450</v>
      </c>
      <c r="M17" s="12">
        <v>0</v>
      </c>
      <c r="O17" s="13">
        <f>SUM(G17:M17)</f>
        <v>633196</v>
      </c>
      <c r="Q17" s="12">
        <v>0</v>
      </c>
      <c r="S17" s="13">
        <f>IF(ISERROR(O17-Q17),0,O17-Q17)</f>
        <v>633196</v>
      </c>
    </row>
    <row r="18" spans="2:19" ht="12">
      <c r="B18" s="18" t="s">
        <v>67</v>
      </c>
      <c r="C18" s="508" t="s">
        <v>68</v>
      </c>
      <c r="D18" s="508"/>
      <c r="E18" s="508"/>
      <c r="F18" s="19"/>
      <c r="G18" s="20"/>
      <c r="I18" s="20"/>
      <c r="K18" s="12">
        <v>189000</v>
      </c>
      <c r="M18" s="12">
        <v>0</v>
      </c>
      <c r="O18" s="13">
        <f t="shared" si="0"/>
        <v>189000</v>
      </c>
      <c r="Q18" s="12">
        <v>0</v>
      </c>
      <c r="S18" s="13">
        <f t="shared" si="1"/>
        <v>189000</v>
      </c>
    </row>
    <row r="19" spans="2:7" ht="12">
      <c r="B19" s="18"/>
      <c r="C19" s="21"/>
      <c r="D19" s="22"/>
      <c r="E19" s="22"/>
      <c r="F19" s="19"/>
      <c r="G19" s="11"/>
    </row>
    <row r="20" spans="2:19" ht="12">
      <c r="B20" s="18" t="s">
        <v>69</v>
      </c>
      <c r="C20" s="508" t="s">
        <v>70</v>
      </c>
      <c r="D20" s="508"/>
      <c r="E20" s="508"/>
      <c r="F20" s="19"/>
      <c r="G20" s="12">
        <v>0</v>
      </c>
      <c r="I20" s="12">
        <v>356141</v>
      </c>
      <c r="K20" s="12">
        <v>228485</v>
      </c>
      <c r="M20" s="12">
        <v>131340</v>
      </c>
      <c r="O20" s="13">
        <f t="shared" si="0"/>
        <v>715966</v>
      </c>
      <c r="Q20" s="12">
        <v>0</v>
      </c>
      <c r="S20" s="13">
        <f t="shared" si="1"/>
        <v>715966</v>
      </c>
    </row>
    <row r="21" spans="2:19" ht="25.5" customHeight="1">
      <c r="B21" s="18" t="s">
        <v>71</v>
      </c>
      <c r="C21" s="508" t="s">
        <v>72</v>
      </c>
      <c r="D21" s="508"/>
      <c r="E21" s="508"/>
      <c r="F21" s="19"/>
      <c r="G21" s="23">
        <v>0</v>
      </c>
      <c r="I21" s="23">
        <v>1936384</v>
      </c>
      <c r="K21" s="23">
        <v>983087</v>
      </c>
      <c r="M21" s="23">
        <v>59582</v>
      </c>
      <c r="O21" s="24">
        <f t="shared" si="0"/>
        <v>2979053</v>
      </c>
      <c r="Q21" s="23">
        <v>64610</v>
      </c>
      <c r="S21" s="24">
        <f t="shared" si="1"/>
        <v>2914443</v>
      </c>
    </row>
    <row r="22" spans="2:19" ht="12">
      <c r="B22" s="18" t="s">
        <v>73</v>
      </c>
      <c r="C22" s="508" t="s">
        <v>74</v>
      </c>
      <c r="D22" s="508"/>
      <c r="E22" s="508"/>
      <c r="F22" s="19"/>
      <c r="G22" s="12">
        <v>0</v>
      </c>
      <c r="I22" s="12">
        <v>0</v>
      </c>
      <c r="K22" s="12">
        <v>38360</v>
      </c>
      <c r="M22" s="12">
        <v>0</v>
      </c>
      <c r="O22" s="13">
        <f t="shared" si="0"/>
        <v>38360</v>
      </c>
      <c r="Q22" s="12">
        <v>0</v>
      </c>
      <c r="S22" s="13">
        <f t="shared" si="1"/>
        <v>38360</v>
      </c>
    </row>
    <row r="23" spans="2:19" ht="12">
      <c r="B23" s="18" t="s">
        <v>75</v>
      </c>
      <c r="C23" s="508" t="s">
        <v>76</v>
      </c>
      <c r="D23" s="508"/>
      <c r="E23" s="508"/>
      <c r="F23" s="19"/>
      <c r="G23" s="12">
        <v>0</v>
      </c>
      <c r="I23" s="12">
        <v>0</v>
      </c>
      <c r="K23" s="12">
        <v>0</v>
      </c>
      <c r="M23" s="12">
        <v>1133910</v>
      </c>
      <c r="O23" s="13">
        <f t="shared" si="0"/>
        <v>1133910</v>
      </c>
      <c r="Q23" s="12">
        <v>0</v>
      </c>
      <c r="S23" s="13">
        <f t="shared" si="1"/>
        <v>1133910</v>
      </c>
    </row>
    <row r="24" spans="2:19" ht="12">
      <c r="B24" s="18" t="s">
        <v>77</v>
      </c>
      <c r="C24" s="508" t="s">
        <v>78</v>
      </c>
      <c r="D24" s="508"/>
      <c r="E24" s="508"/>
      <c r="F24" s="26"/>
      <c r="G24" s="12">
        <v>0</v>
      </c>
      <c r="I24" s="12">
        <v>0</v>
      </c>
      <c r="K24" s="12">
        <v>0</v>
      </c>
      <c r="M24" s="12">
        <v>0</v>
      </c>
      <c r="O24" s="13">
        <f t="shared" si="0"/>
        <v>0</v>
      </c>
      <c r="Q24" s="12">
        <v>0</v>
      </c>
      <c r="S24" s="13">
        <f t="shared" si="1"/>
        <v>0</v>
      </c>
    </row>
    <row r="25" spans="2:19" ht="12">
      <c r="B25" s="18" t="s">
        <v>79</v>
      </c>
      <c r="C25" s="508" t="s">
        <v>80</v>
      </c>
      <c r="D25" s="508"/>
      <c r="E25" s="508"/>
      <c r="F25" s="26"/>
      <c r="G25" s="12">
        <v>0</v>
      </c>
      <c r="I25" s="12">
        <v>0</v>
      </c>
      <c r="K25" s="12">
        <v>0</v>
      </c>
      <c r="M25" s="12">
        <v>0</v>
      </c>
      <c r="O25" s="13">
        <f>SUM(G25:M25)</f>
        <v>0</v>
      </c>
      <c r="Q25" s="12">
        <v>0</v>
      </c>
      <c r="S25" s="13">
        <f>IF(ISERROR(O25-Q25),0,O25-Q25)</f>
        <v>0</v>
      </c>
    </row>
    <row r="26" spans="2:19" ht="12.75" customHeight="1">
      <c r="B26" s="18" t="s">
        <v>81</v>
      </c>
      <c r="C26" s="508" t="s">
        <v>82</v>
      </c>
      <c r="D26" s="508"/>
      <c r="E26" s="508"/>
      <c r="F26" s="27"/>
      <c r="G26" s="12">
        <v>0</v>
      </c>
      <c r="I26" s="12">
        <v>94660</v>
      </c>
      <c r="K26" s="12">
        <v>104710</v>
      </c>
      <c r="M26" s="12">
        <v>1990</v>
      </c>
      <c r="O26" s="13">
        <f t="shared" si="0"/>
        <v>201360</v>
      </c>
      <c r="Q26" s="12">
        <v>0</v>
      </c>
      <c r="S26" s="13">
        <f t="shared" si="1"/>
        <v>201360</v>
      </c>
    </row>
    <row r="27" spans="2:19" ht="12">
      <c r="B27" s="18" t="s">
        <v>83</v>
      </c>
      <c r="C27" s="508" t="s">
        <v>84</v>
      </c>
      <c r="D27" s="508"/>
      <c r="E27" s="508"/>
      <c r="F27" s="28"/>
      <c r="G27" s="12">
        <v>0</v>
      </c>
      <c r="I27" s="12">
        <v>0</v>
      </c>
      <c r="K27" s="12">
        <v>0</v>
      </c>
      <c r="M27" s="12">
        <v>853975</v>
      </c>
      <c r="O27" s="13">
        <f t="shared" si="0"/>
        <v>853975</v>
      </c>
      <c r="Q27" s="12">
        <v>501430</v>
      </c>
      <c r="S27" s="13">
        <f t="shared" si="1"/>
        <v>352545</v>
      </c>
    </row>
    <row r="28" spans="2:7" ht="12">
      <c r="B28" s="29"/>
      <c r="C28" s="29"/>
      <c r="D28" s="29"/>
      <c r="E28" s="29"/>
      <c r="F28" s="11"/>
      <c r="G28" s="11"/>
    </row>
    <row r="29" spans="2:19" ht="12">
      <c r="B29" s="18" t="s">
        <v>85</v>
      </c>
      <c r="C29" s="508" t="s">
        <v>86</v>
      </c>
      <c r="D29" s="508"/>
      <c r="E29" s="508"/>
      <c r="F29" s="19"/>
      <c r="G29" s="12">
        <v>0</v>
      </c>
      <c r="I29" s="12">
        <v>186343</v>
      </c>
      <c r="K29" s="12">
        <v>890285</v>
      </c>
      <c r="M29" s="12">
        <v>0</v>
      </c>
      <c r="O29" s="13">
        <f>SUM(G29:M29)</f>
        <v>1076628</v>
      </c>
      <c r="Q29" s="12">
        <v>15390</v>
      </c>
      <c r="S29" s="13">
        <f>IF(ISERROR(O29-Q29),0,O29-Q29)</f>
        <v>1061238</v>
      </c>
    </row>
    <row r="30" spans="2:19" ht="12">
      <c r="B30" s="18" t="s">
        <v>87</v>
      </c>
      <c r="C30" s="508" t="s">
        <v>88</v>
      </c>
      <c r="D30" s="508"/>
      <c r="E30" s="508"/>
      <c r="F30" s="19"/>
      <c r="G30" s="12">
        <v>0</v>
      </c>
      <c r="I30" s="12">
        <v>0</v>
      </c>
      <c r="K30" s="12">
        <v>0</v>
      </c>
      <c r="M30" s="12">
        <v>0</v>
      </c>
      <c r="O30" s="13">
        <f>SUM(G30:M30)</f>
        <v>0</v>
      </c>
      <c r="Q30" s="12">
        <v>0</v>
      </c>
      <c r="S30" s="13">
        <f>IF(ISERROR(O30-Q30),0,O30-Q30)</f>
        <v>0</v>
      </c>
    </row>
    <row r="31" spans="2:19" ht="12">
      <c r="B31" s="18" t="s">
        <v>89</v>
      </c>
      <c r="C31" s="508" t="s">
        <v>90</v>
      </c>
      <c r="D31" s="508"/>
      <c r="E31" s="508"/>
      <c r="F31" s="19"/>
      <c r="G31" s="12">
        <v>0</v>
      </c>
      <c r="I31" s="12">
        <v>56623</v>
      </c>
      <c r="K31" s="12">
        <v>44440</v>
      </c>
      <c r="M31" s="12">
        <v>1191</v>
      </c>
      <c r="O31" s="13">
        <f>SUM(G31:M31)</f>
        <v>102254</v>
      </c>
      <c r="Q31" s="12">
        <v>0</v>
      </c>
      <c r="S31" s="13">
        <f>IF(ISERROR(O31-Q31),0,O31-Q31)</f>
        <v>102254</v>
      </c>
    </row>
    <row r="32" spans="2:19" ht="12.75" customHeight="1">
      <c r="B32" s="30" t="s">
        <v>91</v>
      </c>
      <c r="C32" s="508" t="s">
        <v>92</v>
      </c>
      <c r="D32" s="508"/>
      <c r="E32" s="508"/>
      <c r="F32" s="27"/>
      <c r="G32" s="12">
        <v>1445690</v>
      </c>
      <c r="I32" s="14"/>
      <c r="K32" s="14"/>
      <c r="M32" s="14"/>
      <c r="O32" s="13">
        <f>SUM(G32:M32)</f>
        <v>1445690</v>
      </c>
      <c r="Q32" s="12">
        <v>0</v>
      </c>
      <c r="S32" s="13">
        <f>IF(ISERROR(O32-Q32),0,O32-Q32)</f>
        <v>1445690</v>
      </c>
    </row>
    <row r="33" spans="2:7" ht="12">
      <c r="B33" s="18"/>
      <c r="C33" s="22"/>
      <c r="D33" s="22"/>
      <c r="E33" s="22"/>
      <c r="F33" s="19"/>
      <c r="G33" s="11"/>
    </row>
    <row r="34" spans="2:19" ht="12">
      <c r="B34" s="18" t="s">
        <v>93</v>
      </c>
      <c r="C34" s="508" t="s">
        <v>94</v>
      </c>
      <c r="D34" s="508"/>
      <c r="E34" s="508"/>
      <c r="F34" s="19"/>
      <c r="G34" s="12">
        <v>0</v>
      </c>
      <c r="I34" s="12">
        <v>2547560</v>
      </c>
      <c r="K34" s="14"/>
      <c r="M34" s="12">
        <v>93460</v>
      </c>
      <c r="O34" s="13">
        <f>SUM(G34:M34)</f>
        <v>2641020</v>
      </c>
      <c r="Q34" s="12">
        <v>2084830</v>
      </c>
      <c r="S34" s="13">
        <f>IF(ISERROR(O34-Q34),0,O34-Q34)</f>
        <v>556190</v>
      </c>
    </row>
    <row r="35" spans="2:19" ht="12">
      <c r="B35" s="18" t="s">
        <v>95</v>
      </c>
      <c r="C35" s="508" t="s">
        <v>96</v>
      </c>
      <c r="D35" s="508"/>
      <c r="E35" s="508"/>
      <c r="F35" s="19"/>
      <c r="G35" s="12">
        <v>0</v>
      </c>
      <c r="I35" s="12">
        <v>19933</v>
      </c>
      <c r="K35" s="12">
        <v>15644</v>
      </c>
      <c r="M35" s="12">
        <v>419</v>
      </c>
      <c r="O35" s="13">
        <f>SUM(G35:M35)</f>
        <v>35996</v>
      </c>
      <c r="Q35" s="12">
        <v>0</v>
      </c>
      <c r="S35" s="13">
        <f>IF(ISERROR(O35-Q35),0,O35-Q35)</f>
        <v>35996</v>
      </c>
    </row>
    <row r="36" spans="2:19" ht="12">
      <c r="B36" s="18" t="s">
        <v>97</v>
      </c>
      <c r="C36" s="508" t="s">
        <v>98</v>
      </c>
      <c r="D36" s="508"/>
      <c r="E36" s="508"/>
      <c r="F36" s="19"/>
      <c r="G36" s="12">
        <v>0</v>
      </c>
      <c r="I36" s="12">
        <v>68000</v>
      </c>
      <c r="K36" s="14"/>
      <c r="M36" s="12">
        <v>0</v>
      </c>
      <c r="O36" s="13">
        <f>SUM(G36:M36)</f>
        <v>68000</v>
      </c>
      <c r="Q36" s="12">
        <v>60000</v>
      </c>
      <c r="S36" s="13">
        <f>IF(ISERROR(O36-Q36),0,O36-Q36)</f>
        <v>8000</v>
      </c>
    </row>
    <row r="37" spans="2:19" ht="12">
      <c r="B37" s="18" t="s">
        <v>99</v>
      </c>
      <c r="C37" s="508" t="s">
        <v>100</v>
      </c>
      <c r="D37" s="508"/>
      <c r="E37" s="508"/>
      <c r="F37" s="19"/>
      <c r="G37" s="12">
        <v>0</v>
      </c>
      <c r="I37" s="12">
        <v>0</v>
      </c>
      <c r="K37" s="14"/>
      <c r="M37" s="12">
        <v>0</v>
      </c>
      <c r="O37" s="13">
        <f>SUM(G37:M37)</f>
        <v>0</v>
      </c>
      <c r="Q37" s="12">
        <v>0</v>
      </c>
      <c r="S37" s="13">
        <f>IF(ISERROR(O37-Q37),0,O37-Q37)</f>
        <v>0</v>
      </c>
    </row>
    <row r="38" spans="2:7" ht="12">
      <c r="B38" s="9"/>
      <c r="C38" s="9"/>
      <c r="D38" s="9"/>
      <c r="E38" s="9"/>
      <c r="F38" s="11"/>
      <c r="G38" s="11"/>
    </row>
    <row r="39" spans="2:19" ht="12">
      <c r="B39" s="18" t="s">
        <v>101</v>
      </c>
      <c r="C39" s="508" t="s">
        <v>102</v>
      </c>
      <c r="D39" s="508"/>
      <c r="E39" s="508"/>
      <c r="F39" s="11"/>
      <c r="G39" s="12">
        <v>0</v>
      </c>
      <c r="I39" s="12">
        <v>271526</v>
      </c>
      <c r="K39" s="12">
        <v>293844</v>
      </c>
      <c r="M39" s="12">
        <v>24400</v>
      </c>
      <c r="O39" s="13">
        <f>SUM(G39:M39)</f>
        <v>589770</v>
      </c>
      <c r="Q39" s="12">
        <v>0</v>
      </c>
      <c r="S39" s="13">
        <f>IF(ISERROR(O39-Q39),0,O39-Q39)</f>
        <v>589770</v>
      </c>
    </row>
    <row r="40" spans="2:19" ht="12">
      <c r="B40" s="18" t="s">
        <v>103</v>
      </c>
      <c r="C40" s="508" t="s">
        <v>104</v>
      </c>
      <c r="D40" s="508"/>
      <c r="E40" s="508"/>
      <c r="F40" s="11"/>
      <c r="G40" s="12">
        <v>0</v>
      </c>
      <c r="I40" s="12">
        <v>0</v>
      </c>
      <c r="K40" s="12">
        <v>0</v>
      </c>
      <c r="M40" s="12">
        <v>0</v>
      </c>
      <c r="O40" s="13">
        <f>SUM(G40:M40)</f>
        <v>0</v>
      </c>
      <c r="Q40" s="12">
        <v>0</v>
      </c>
      <c r="S40" s="13">
        <f>IF(ISERROR(O40-Q40),0,O40-Q40)</f>
        <v>0</v>
      </c>
    </row>
    <row r="41" spans="2:19" ht="12">
      <c r="B41" s="18" t="s">
        <v>105</v>
      </c>
      <c r="C41" s="508" t="s">
        <v>106</v>
      </c>
      <c r="D41" s="508"/>
      <c r="E41" s="508"/>
      <c r="F41" s="11"/>
      <c r="G41" s="12">
        <v>0</v>
      </c>
      <c r="I41" s="12">
        <v>0</v>
      </c>
      <c r="K41" s="14"/>
      <c r="M41" s="12">
        <v>0</v>
      </c>
      <c r="O41" s="13">
        <f>SUM(G41:M41)</f>
        <v>0</v>
      </c>
      <c r="Q41" s="12">
        <v>0</v>
      </c>
      <c r="S41" s="13">
        <f>IF(ISERROR(O41-Q41),0,O41-Q41)</f>
        <v>0</v>
      </c>
    </row>
    <row r="42" spans="2:19" ht="12">
      <c r="B42" s="18" t="s">
        <v>107</v>
      </c>
      <c r="C42" s="508" t="s">
        <v>108</v>
      </c>
      <c r="D42" s="508"/>
      <c r="E42" s="508"/>
      <c r="F42" s="11"/>
      <c r="G42" s="12">
        <v>0</v>
      </c>
      <c r="I42" s="12">
        <v>110047</v>
      </c>
      <c r="K42" s="12">
        <v>86369</v>
      </c>
      <c r="M42" s="12">
        <v>2315</v>
      </c>
      <c r="O42" s="13">
        <f aca="true" t="shared" si="2" ref="O42:O47">SUM(G42:M42)</f>
        <v>198731</v>
      </c>
      <c r="Q42" s="12">
        <v>0</v>
      </c>
      <c r="S42" s="13">
        <f aca="true" t="shared" si="3" ref="S42:S47">IF(ISERROR(O42-Q42),0,O42-Q42)</f>
        <v>198731</v>
      </c>
    </row>
    <row r="43" spans="2:19" ht="12">
      <c r="B43" s="18" t="s">
        <v>109</v>
      </c>
      <c r="C43" s="508" t="s">
        <v>110</v>
      </c>
      <c r="D43" s="508"/>
      <c r="E43" s="508"/>
      <c r="F43" s="11"/>
      <c r="G43" s="12">
        <v>0</v>
      </c>
      <c r="I43" s="12">
        <v>45868</v>
      </c>
      <c r="K43" s="12">
        <v>35999</v>
      </c>
      <c r="M43" s="12">
        <v>965</v>
      </c>
      <c r="O43" s="13">
        <f t="shared" si="2"/>
        <v>82832</v>
      </c>
      <c r="Q43" s="12">
        <v>0</v>
      </c>
      <c r="S43" s="13">
        <f t="shared" si="3"/>
        <v>82832</v>
      </c>
    </row>
    <row r="44" spans="2:19" ht="12">
      <c r="B44" s="18" t="s">
        <v>111</v>
      </c>
      <c r="C44" s="508" t="s">
        <v>112</v>
      </c>
      <c r="D44" s="508"/>
      <c r="E44" s="508"/>
      <c r="F44" s="11"/>
      <c r="G44" s="12">
        <v>0</v>
      </c>
      <c r="I44" s="12">
        <v>19381</v>
      </c>
      <c r="K44" s="12">
        <v>15211</v>
      </c>
      <c r="M44" s="12">
        <v>408</v>
      </c>
      <c r="O44" s="13">
        <f t="shared" si="2"/>
        <v>35000</v>
      </c>
      <c r="Q44" s="12">
        <v>0</v>
      </c>
      <c r="S44" s="13">
        <f t="shared" si="3"/>
        <v>35000</v>
      </c>
    </row>
    <row r="45" spans="2:19" ht="12">
      <c r="B45" s="18" t="s">
        <v>113</v>
      </c>
      <c r="C45" s="508" t="s">
        <v>114</v>
      </c>
      <c r="D45" s="508"/>
      <c r="E45" s="508"/>
      <c r="F45" s="11"/>
      <c r="G45" s="12">
        <v>0</v>
      </c>
      <c r="I45" s="12">
        <v>35700</v>
      </c>
      <c r="K45" s="12">
        <v>28019</v>
      </c>
      <c r="M45" s="12">
        <v>751</v>
      </c>
      <c r="O45" s="13">
        <f t="shared" si="2"/>
        <v>64470</v>
      </c>
      <c r="Q45" s="12">
        <v>0</v>
      </c>
      <c r="S45" s="13">
        <f t="shared" si="3"/>
        <v>64470</v>
      </c>
    </row>
    <row r="46" spans="2:19" ht="12">
      <c r="B46" s="18" t="s">
        <v>115</v>
      </c>
      <c r="C46" s="508" t="s">
        <v>116</v>
      </c>
      <c r="D46" s="508"/>
      <c r="E46" s="508"/>
      <c r="F46" s="11"/>
      <c r="G46" s="12">
        <v>0</v>
      </c>
      <c r="I46" s="12">
        <v>73372</v>
      </c>
      <c r="K46" s="12">
        <v>57584</v>
      </c>
      <c r="M46" s="12">
        <v>1544</v>
      </c>
      <c r="O46" s="13">
        <f t="shared" si="2"/>
        <v>132500</v>
      </c>
      <c r="Q46" s="12">
        <v>0</v>
      </c>
      <c r="S46" s="13">
        <f t="shared" si="3"/>
        <v>132500</v>
      </c>
    </row>
    <row r="47" spans="2:19" ht="12">
      <c r="B47" s="18" t="s">
        <v>117</v>
      </c>
      <c r="C47" s="508" t="s">
        <v>118</v>
      </c>
      <c r="D47" s="508"/>
      <c r="E47" s="508"/>
      <c r="F47" s="11"/>
      <c r="G47" s="12">
        <v>0</v>
      </c>
      <c r="I47" s="12">
        <v>0</v>
      </c>
      <c r="K47" s="12">
        <v>0</v>
      </c>
      <c r="M47" s="12">
        <v>0</v>
      </c>
      <c r="O47" s="13">
        <f t="shared" si="2"/>
        <v>0</v>
      </c>
      <c r="Q47" s="12">
        <v>0</v>
      </c>
      <c r="S47" s="13">
        <f t="shared" si="3"/>
        <v>0</v>
      </c>
    </row>
    <row r="48" spans="2:19" ht="12">
      <c r="B48" s="18" t="s">
        <v>119</v>
      </c>
      <c r="C48" s="508" t="s">
        <v>120</v>
      </c>
      <c r="D48" s="508"/>
      <c r="E48" s="508"/>
      <c r="F48" s="11"/>
      <c r="G48" s="12">
        <v>0</v>
      </c>
      <c r="I48" s="12">
        <v>0</v>
      </c>
      <c r="K48" s="12">
        <v>0</v>
      </c>
      <c r="M48" s="12">
        <v>0</v>
      </c>
      <c r="O48" s="13">
        <f>SUM(G48:M48)</f>
        <v>0</v>
      </c>
      <c r="Q48" s="12">
        <v>0</v>
      </c>
      <c r="S48" s="13">
        <f>IF(ISERROR(O48-Q48),0,O48-Q48)</f>
        <v>0</v>
      </c>
    </row>
    <row r="49" spans="2:7" ht="12">
      <c r="B49" s="29"/>
      <c r="C49" s="29"/>
      <c r="D49" s="29"/>
      <c r="E49" s="29"/>
      <c r="F49" s="11"/>
      <c r="G49" s="11"/>
    </row>
    <row r="50" spans="2:19" ht="12">
      <c r="B50" s="18" t="s">
        <v>121</v>
      </c>
      <c r="C50" s="508" t="s">
        <v>122</v>
      </c>
      <c r="D50" s="508"/>
      <c r="E50" s="508"/>
      <c r="F50" s="19"/>
      <c r="G50" s="12">
        <v>0</v>
      </c>
      <c r="I50" s="12">
        <v>648447</v>
      </c>
      <c r="K50" s="12">
        <v>608808</v>
      </c>
      <c r="M50" s="12">
        <v>39365</v>
      </c>
      <c r="O50" s="13">
        <f>SUM(G50:M50)</f>
        <v>1296620</v>
      </c>
      <c r="Q50" s="12">
        <f>+O50</f>
        <v>1296620</v>
      </c>
      <c r="S50" s="13">
        <f>IF(ISERROR(O50-Q50),0,O50-Q50)</f>
        <v>0</v>
      </c>
    </row>
    <row r="51" spans="2:20" ht="12">
      <c r="B51" s="18" t="s">
        <v>123</v>
      </c>
      <c r="C51" s="508" t="s">
        <v>124</v>
      </c>
      <c r="D51" s="508"/>
      <c r="E51" s="508"/>
      <c r="F51" s="19"/>
      <c r="G51" s="12">
        <v>0</v>
      </c>
      <c r="I51" s="12">
        <v>278627</v>
      </c>
      <c r="K51" s="12">
        <v>218677</v>
      </c>
      <c r="M51" s="12">
        <v>17593</v>
      </c>
      <c r="O51" s="13">
        <f>SUM(G51:M51)</f>
        <v>514897</v>
      </c>
      <c r="Q51" s="12">
        <f>+O51</f>
        <v>514897</v>
      </c>
      <c r="S51" s="13">
        <f>IF(ISERROR(O51-Q51),0,O51-Q51)</f>
        <v>0</v>
      </c>
      <c r="T51" s="486"/>
    </row>
    <row r="52" spans="2:19" ht="12">
      <c r="B52" s="18" t="s">
        <v>125</v>
      </c>
      <c r="C52" s="508" t="s">
        <v>126</v>
      </c>
      <c r="D52" s="508"/>
      <c r="E52" s="508"/>
      <c r="F52" s="19"/>
      <c r="G52" s="12">
        <v>0</v>
      </c>
      <c r="I52" s="12">
        <v>0</v>
      </c>
      <c r="K52" s="12">
        <v>375160</v>
      </c>
      <c r="M52" s="12">
        <v>0</v>
      </c>
      <c r="O52" s="13">
        <f>SUM(G52:M52)</f>
        <v>375160</v>
      </c>
      <c r="Q52" s="12">
        <f>+O52</f>
        <v>375160</v>
      </c>
      <c r="S52" s="13">
        <f>IF(ISERROR(O52-Q52),0,O52-Q52)</f>
        <v>0</v>
      </c>
    </row>
    <row r="53" spans="2:19" ht="12">
      <c r="B53" s="18" t="s">
        <v>127</v>
      </c>
      <c r="C53" s="508" t="s">
        <v>128</v>
      </c>
      <c r="D53" s="508"/>
      <c r="E53" s="508"/>
      <c r="F53" s="19"/>
      <c r="G53" s="12">
        <v>0</v>
      </c>
      <c r="I53" s="12">
        <v>217000</v>
      </c>
      <c r="K53" s="12">
        <v>0</v>
      </c>
      <c r="M53" s="12">
        <v>8000</v>
      </c>
      <c r="O53" s="13">
        <f>SUM(G53:M53)</f>
        <v>225000</v>
      </c>
      <c r="Q53" s="12">
        <f>+O53</f>
        <v>225000</v>
      </c>
      <c r="S53" s="13">
        <f>IF(ISERROR(O53-Q53),0,O53-Q53)</f>
        <v>0</v>
      </c>
    </row>
    <row r="54" spans="2:19" ht="12">
      <c r="B54" s="18" t="s">
        <v>129</v>
      </c>
      <c r="C54" s="508" t="s">
        <v>130</v>
      </c>
      <c r="D54" s="508"/>
      <c r="E54" s="508"/>
      <c r="F54" s="19"/>
      <c r="G54" s="12">
        <v>0</v>
      </c>
      <c r="I54" s="12">
        <v>0</v>
      </c>
      <c r="K54" s="12">
        <v>0</v>
      </c>
      <c r="M54" s="12">
        <v>0</v>
      </c>
      <c r="O54" s="13">
        <f>SUM(G54:M54)</f>
        <v>0</v>
      </c>
      <c r="Q54" s="20"/>
      <c r="S54" s="13">
        <f>IF(ISERROR(O54-Q54),0,O54-Q54)</f>
        <v>0</v>
      </c>
    </row>
    <row r="55" spans="2:7" ht="12">
      <c r="B55" s="18"/>
      <c r="C55" s="22"/>
      <c r="D55" s="22"/>
      <c r="E55" s="22"/>
      <c r="F55" s="31"/>
      <c r="G55" s="11"/>
    </row>
    <row r="56" spans="2:19" ht="12">
      <c r="B56" s="18" t="s">
        <v>131</v>
      </c>
      <c r="C56" s="508" t="s">
        <v>132</v>
      </c>
      <c r="D56" s="508"/>
      <c r="E56" s="508"/>
      <c r="F56" s="19"/>
      <c r="G56" s="12">
        <v>0</v>
      </c>
      <c r="I56" s="12">
        <f>680546+6</f>
        <v>680552</v>
      </c>
      <c r="K56" s="12">
        <v>626566</v>
      </c>
      <c r="M56" s="12">
        <v>48063</v>
      </c>
      <c r="O56" s="13">
        <f>SUM(G56:M56)</f>
        <v>1355181</v>
      </c>
      <c r="Q56" s="12">
        <v>0</v>
      </c>
      <c r="S56" s="13">
        <f>IF(ISERROR(O56-Q56),0,O56-Q56)</f>
        <v>1355181</v>
      </c>
    </row>
    <row r="57" spans="2:19" ht="12">
      <c r="B57" s="18" t="s">
        <v>133</v>
      </c>
      <c r="C57" s="508" t="s">
        <v>134</v>
      </c>
      <c r="D57" s="508"/>
      <c r="E57" s="508"/>
      <c r="F57" s="19"/>
      <c r="G57" s="12">
        <v>0</v>
      </c>
      <c r="I57" s="12">
        <v>0</v>
      </c>
      <c r="K57" s="12">
        <v>0</v>
      </c>
      <c r="M57" s="12">
        <v>0</v>
      </c>
      <c r="O57" s="13">
        <f>SUM(G57:M57)</f>
        <v>0</v>
      </c>
      <c r="Q57" s="12">
        <v>0</v>
      </c>
      <c r="S57" s="13">
        <f>IF(ISERROR(O57-Q57),0,O57-Q57)</f>
        <v>0</v>
      </c>
    </row>
    <row r="58" spans="2:7" ht="12.75" thickBot="1">
      <c r="B58" s="18"/>
      <c r="C58" s="21"/>
      <c r="D58" s="22"/>
      <c r="E58" s="22"/>
      <c r="F58" s="19"/>
      <c r="G58" s="11"/>
    </row>
    <row r="59" spans="2:19" ht="13.5" thickBot="1" thickTop="1">
      <c r="B59" s="18" t="s">
        <v>135</v>
      </c>
      <c r="C59" s="508" t="s">
        <v>136</v>
      </c>
      <c r="D59" s="508"/>
      <c r="E59" s="508"/>
      <c r="F59" s="19"/>
      <c r="G59" s="32">
        <f>SUM(G7:G57)</f>
        <v>1445690</v>
      </c>
      <c r="I59" s="32">
        <f>SUM(I7:I57)</f>
        <v>65040572</v>
      </c>
      <c r="K59" s="32">
        <f>SUM(K7:K57)</f>
        <v>61870665</v>
      </c>
      <c r="M59" s="32">
        <f>SUM(M7:M57)</f>
        <v>7765937</v>
      </c>
      <c r="O59" s="32">
        <f>SUM(G59:M59)</f>
        <v>136122864</v>
      </c>
      <c r="Q59" s="32">
        <f>SUM(Q7:Q57)</f>
        <v>19041581</v>
      </c>
      <c r="S59" s="32">
        <f>IF(ISERROR(O59-Q59),0,O59-Q59)</f>
        <v>117081283</v>
      </c>
    </row>
    <row r="60" spans="2:7" ht="12.75" thickTop="1">
      <c r="B60" s="18"/>
      <c r="C60" s="33"/>
      <c r="D60" s="22"/>
      <c r="E60" s="22"/>
      <c r="F60" s="19"/>
      <c r="G60" s="11"/>
    </row>
    <row r="61" spans="2:7" ht="12">
      <c r="B61" s="34">
        <v>2</v>
      </c>
      <c r="C61" s="499" t="s">
        <v>137</v>
      </c>
      <c r="D61" s="499"/>
      <c r="E61" s="499"/>
      <c r="F61" s="19"/>
      <c r="G61" s="11"/>
    </row>
    <row r="62" spans="2:7" ht="12">
      <c r="B62" s="18"/>
      <c r="C62" s="35"/>
      <c r="D62" s="22"/>
      <c r="E62" s="22"/>
      <c r="F62" s="19"/>
      <c r="G62" s="11"/>
    </row>
    <row r="63" spans="2:7" ht="12">
      <c r="B63" s="18"/>
      <c r="C63" s="499" t="s">
        <v>138</v>
      </c>
      <c r="D63" s="499"/>
      <c r="E63" s="499"/>
      <c r="F63" s="26"/>
      <c r="G63" s="11"/>
    </row>
    <row r="64" spans="2:19" ht="12">
      <c r="B64" s="18" t="s">
        <v>139</v>
      </c>
      <c r="C64" s="508" t="s">
        <v>140</v>
      </c>
      <c r="D64" s="508"/>
      <c r="E64" s="508"/>
      <c r="F64" s="26"/>
      <c r="G64" s="11"/>
      <c r="O64" s="12">
        <v>3587756</v>
      </c>
      <c r="Q64" s="12">
        <v>442010</v>
      </c>
      <c r="S64" s="13">
        <f>IF(ISERROR(O64-Q64),0,O64-Q64)</f>
        <v>3145746</v>
      </c>
    </row>
    <row r="65" spans="2:19" ht="12">
      <c r="B65" s="18" t="s">
        <v>141</v>
      </c>
      <c r="C65" s="508" t="s">
        <v>142</v>
      </c>
      <c r="D65" s="508"/>
      <c r="E65" s="508"/>
      <c r="F65" s="19"/>
      <c r="G65" s="11"/>
      <c r="O65" s="12">
        <v>123150</v>
      </c>
      <c r="Q65" s="12">
        <v>0</v>
      </c>
      <c r="S65" s="13">
        <f>IF(ISERROR(O65-Q65),0,O65-Q65)</f>
        <v>123150</v>
      </c>
    </row>
    <row r="66" spans="2:19" ht="12.75" customHeight="1">
      <c r="B66" s="18" t="s">
        <v>143</v>
      </c>
      <c r="C66" s="508" t="s">
        <v>144</v>
      </c>
      <c r="D66" s="508"/>
      <c r="E66" s="508"/>
      <c r="F66" s="28"/>
      <c r="G66" s="11"/>
      <c r="O66" s="12">
        <v>828170</v>
      </c>
      <c r="Q66" s="12">
        <v>0</v>
      </c>
      <c r="S66" s="13">
        <f aca="true" t="shared" si="4" ref="S66:S71">IF(ISERROR(O66-Q66),0,O66-Q66)</f>
        <v>828170</v>
      </c>
    </row>
    <row r="67" spans="2:19" ht="12.75" customHeight="1">
      <c r="B67" s="36" t="s">
        <v>145</v>
      </c>
      <c r="C67" s="508" t="s">
        <v>146</v>
      </c>
      <c r="D67" s="508"/>
      <c r="E67" s="508"/>
      <c r="F67" s="37"/>
      <c r="G67" s="11"/>
      <c r="O67" s="12">
        <v>91540</v>
      </c>
      <c r="Q67" s="12">
        <v>10440</v>
      </c>
      <c r="S67" s="13">
        <f t="shared" si="4"/>
        <v>81100</v>
      </c>
    </row>
    <row r="68" spans="2:19" ht="12">
      <c r="B68" s="18" t="s">
        <v>147</v>
      </c>
      <c r="C68" s="508" t="s">
        <v>148</v>
      </c>
      <c r="D68" s="508"/>
      <c r="E68" s="508"/>
      <c r="F68" s="19"/>
      <c r="G68" s="11"/>
      <c r="O68" s="12">
        <v>0</v>
      </c>
      <c r="Q68" s="12">
        <v>0</v>
      </c>
      <c r="S68" s="13">
        <f t="shared" si="4"/>
        <v>0</v>
      </c>
    </row>
    <row r="69" spans="2:19" ht="12">
      <c r="B69" s="18" t="s">
        <v>149</v>
      </c>
      <c r="C69" s="508" t="s">
        <v>102</v>
      </c>
      <c r="D69" s="508"/>
      <c r="E69" s="508"/>
      <c r="F69" s="19"/>
      <c r="G69" s="11"/>
      <c r="O69" s="12">
        <v>0</v>
      </c>
      <c r="Q69" s="12">
        <v>0</v>
      </c>
      <c r="S69" s="13">
        <f t="shared" si="4"/>
        <v>0</v>
      </c>
    </row>
    <row r="70" spans="2:19" ht="12.75" thickBot="1">
      <c r="B70" s="18" t="s">
        <v>150</v>
      </c>
      <c r="C70" s="508" t="s">
        <v>151</v>
      </c>
      <c r="D70" s="508"/>
      <c r="E70" s="508"/>
      <c r="F70" s="19"/>
      <c r="G70" s="11"/>
      <c r="O70" s="38">
        <v>156751</v>
      </c>
      <c r="Q70" s="12">
        <v>0</v>
      </c>
      <c r="S70" s="39">
        <f t="shared" si="4"/>
        <v>156751</v>
      </c>
    </row>
    <row r="71" spans="2:19" ht="12.75" thickBot="1">
      <c r="B71" s="30" t="s">
        <v>152</v>
      </c>
      <c r="C71" s="508" t="s">
        <v>153</v>
      </c>
      <c r="D71" s="508"/>
      <c r="E71" s="508"/>
      <c r="F71" s="19"/>
      <c r="G71" s="11"/>
      <c r="O71" s="40">
        <f>SUM(O64:O70)</f>
        <v>4787367</v>
      </c>
      <c r="Q71" s="40">
        <f>SUM(Q64:Q70)</f>
        <v>452450</v>
      </c>
      <c r="S71" s="40">
        <f t="shared" si="4"/>
        <v>4334917</v>
      </c>
    </row>
    <row r="72" spans="2:7" ht="12">
      <c r="B72" s="9"/>
      <c r="C72" s="9"/>
      <c r="D72" s="9"/>
      <c r="E72" s="9"/>
      <c r="F72" s="11"/>
      <c r="G72" s="11"/>
    </row>
    <row r="73" spans="2:7" ht="12">
      <c r="B73" s="18"/>
      <c r="C73" s="500" t="s">
        <v>154</v>
      </c>
      <c r="D73" s="500"/>
      <c r="E73" s="500"/>
      <c r="F73" s="26"/>
      <c r="G73" s="11"/>
    </row>
    <row r="74" spans="2:19" ht="12">
      <c r="B74" s="18" t="s">
        <v>155</v>
      </c>
      <c r="C74" s="508" t="s">
        <v>156</v>
      </c>
      <c r="D74" s="508"/>
      <c r="E74" s="508"/>
      <c r="F74" s="19"/>
      <c r="G74" s="11"/>
      <c r="O74" s="12">
        <v>0</v>
      </c>
      <c r="Q74" s="12">
        <v>0</v>
      </c>
      <c r="S74" s="13">
        <f>IF(ISERROR(O74-Q74),0,O74-Q74)</f>
        <v>0</v>
      </c>
    </row>
    <row r="75" spans="2:20" ht="12">
      <c r="B75" s="18" t="s">
        <v>157</v>
      </c>
      <c r="C75" s="508" t="s">
        <v>158</v>
      </c>
      <c r="D75" s="508"/>
      <c r="E75" s="508"/>
      <c r="F75" s="19"/>
      <c r="G75" s="11"/>
      <c r="O75" s="12">
        <v>1345021</v>
      </c>
      <c r="Q75" s="12">
        <v>996340</v>
      </c>
      <c r="S75" s="13">
        <f>IF(ISERROR(O75-Q75),0,O75-Q75)</f>
        <v>348681</v>
      </c>
      <c r="T75" s="486"/>
    </row>
    <row r="76" spans="2:19" ht="12.75" thickBot="1">
      <c r="B76" s="18" t="s">
        <v>159</v>
      </c>
      <c r="C76" s="508" t="s">
        <v>126</v>
      </c>
      <c r="D76" s="508"/>
      <c r="E76" s="508"/>
      <c r="F76" s="19"/>
      <c r="G76" s="11"/>
      <c r="O76" s="12">
        <v>0</v>
      </c>
      <c r="Q76" s="12">
        <v>0</v>
      </c>
      <c r="S76" s="13">
        <f>IF(ISERROR(O76-Q76),0,O76-Q76)</f>
        <v>0</v>
      </c>
    </row>
    <row r="77" spans="2:20" ht="12.75" thickBot="1">
      <c r="B77" s="18" t="s">
        <v>160</v>
      </c>
      <c r="C77" s="508" t="s">
        <v>161</v>
      </c>
      <c r="D77" s="508"/>
      <c r="E77" s="508"/>
      <c r="F77" s="19"/>
      <c r="G77" s="11"/>
      <c r="O77" s="40">
        <f>SUM(O74:O76)</f>
        <v>1345021</v>
      </c>
      <c r="Q77" s="40">
        <f>SUM(Q74:Q76)</f>
        <v>996340</v>
      </c>
      <c r="S77" s="40">
        <f>IF(ISERROR(O77-Q77),0,O77-Q77)</f>
        <v>348681</v>
      </c>
      <c r="T77" s="486"/>
    </row>
    <row r="78" spans="2:7" ht="12">
      <c r="B78" s="18"/>
      <c r="C78" s="22"/>
      <c r="D78" s="22"/>
      <c r="E78" s="22"/>
      <c r="F78" s="19"/>
      <c r="G78" s="11"/>
    </row>
    <row r="79" spans="2:7" ht="12">
      <c r="B79" s="18"/>
      <c r="C79" s="499" t="s">
        <v>162</v>
      </c>
      <c r="D79" s="499"/>
      <c r="E79" s="499"/>
      <c r="F79" s="26"/>
      <c r="G79" s="11"/>
    </row>
    <row r="80" spans="2:19" ht="12">
      <c r="B80" s="30" t="s">
        <v>163</v>
      </c>
      <c r="C80" s="508" t="s">
        <v>164</v>
      </c>
      <c r="D80" s="508"/>
      <c r="E80" s="508"/>
      <c r="F80" s="19"/>
      <c r="G80" s="11"/>
      <c r="O80" s="12">
        <v>662396</v>
      </c>
      <c r="Q80" s="12">
        <v>46700</v>
      </c>
      <c r="S80" s="13">
        <f aca="true" t="shared" si="5" ref="S80:S86">IF(ISERROR(O80-Q80),0,O80-Q80)</f>
        <v>615696</v>
      </c>
    </row>
    <row r="81" spans="2:19" ht="12">
      <c r="B81" s="18" t="s">
        <v>165</v>
      </c>
      <c r="C81" s="508" t="s">
        <v>166</v>
      </c>
      <c r="D81" s="508"/>
      <c r="E81" s="508"/>
      <c r="F81" s="19"/>
      <c r="G81" s="11"/>
      <c r="O81" s="12">
        <v>183008</v>
      </c>
      <c r="Q81" s="12">
        <v>0</v>
      </c>
      <c r="S81" s="13">
        <f t="shared" si="5"/>
        <v>183008</v>
      </c>
    </row>
    <row r="82" spans="2:19" ht="12">
      <c r="B82" s="18" t="s">
        <v>167</v>
      </c>
      <c r="C82" s="508" t="s">
        <v>168</v>
      </c>
      <c r="D82" s="508"/>
      <c r="E82" s="508"/>
      <c r="F82" s="19"/>
      <c r="G82" s="11"/>
      <c r="O82" s="12">
        <v>63008</v>
      </c>
      <c r="Q82" s="12">
        <v>0</v>
      </c>
      <c r="S82" s="13">
        <f t="shared" si="5"/>
        <v>63008</v>
      </c>
    </row>
    <row r="83" spans="2:19" ht="12">
      <c r="B83" s="18" t="s">
        <v>169</v>
      </c>
      <c r="C83" s="508" t="s">
        <v>170</v>
      </c>
      <c r="D83" s="508"/>
      <c r="E83" s="508"/>
      <c r="F83" s="19"/>
      <c r="G83" s="11"/>
      <c r="O83" s="12">
        <v>0</v>
      </c>
      <c r="Q83" s="12">
        <v>0</v>
      </c>
      <c r="S83" s="13">
        <f t="shared" si="5"/>
        <v>0</v>
      </c>
    </row>
    <row r="84" spans="2:19" ht="12">
      <c r="B84" s="18" t="s">
        <v>171</v>
      </c>
      <c r="C84" s="508" t="s">
        <v>172</v>
      </c>
      <c r="D84" s="508"/>
      <c r="E84" s="508"/>
      <c r="F84" s="19"/>
      <c r="G84" s="11"/>
      <c r="O84" s="12">
        <v>48587</v>
      </c>
      <c r="Q84" s="12">
        <v>0</v>
      </c>
      <c r="S84" s="13">
        <f t="shared" si="5"/>
        <v>48587</v>
      </c>
    </row>
    <row r="85" spans="2:19" ht="12.75" thickBot="1">
      <c r="B85" s="18" t="s">
        <v>173</v>
      </c>
      <c r="C85" s="508" t="s">
        <v>174</v>
      </c>
      <c r="D85" s="508"/>
      <c r="E85" s="508"/>
      <c r="F85" s="19"/>
      <c r="G85" s="11"/>
      <c r="O85" s="12">
        <v>89148</v>
      </c>
      <c r="Q85" s="12">
        <v>0</v>
      </c>
      <c r="S85" s="13">
        <f t="shared" si="5"/>
        <v>89148</v>
      </c>
    </row>
    <row r="86" spans="2:19" ht="12.75" thickBot="1">
      <c r="B86" s="18" t="s">
        <v>175</v>
      </c>
      <c r="C86" s="508" t="s">
        <v>176</v>
      </c>
      <c r="D86" s="508"/>
      <c r="E86" s="508"/>
      <c r="F86" s="19"/>
      <c r="G86" s="11"/>
      <c r="O86" s="40">
        <f>SUM(O80:O85)</f>
        <v>1046147</v>
      </c>
      <c r="Q86" s="40">
        <f>SUM(Q80:Q85)</f>
        <v>46700</v>
      </c>
      <c r="S86" s="40">
        <f t="shared" si="5"/>
        <v>999447</v>
      </c>
    </row>
    <row r="87" spans="2:7" ht="12">
      <c r="B87" s="18"/>
      <c r="C87" s="22"/>
      <c r="D87" s="22"/>
      <c r="E87" s="22"/>
      <c r="F87" s="19"/>
      <c r="G87" s="11"/>
    </row>
    <row r="88" spans="2:7" ht="12">
      <c r="B88" s="18"/>
      <c r="C88" s="499" t="s">
        <v>177</v>
      </c>
      <c r="D88" s="499"/>
      <c r="E88" s="499"/>
      <c r="F88" s="26"/>
      <c r="G88" s="11"/>
    </row>
    <row r="89" spans="2:19" ht="12.75" customHeight="1">
      <c r="B89" s="18" t="s">
        <v>178</v>
      </c>
      <c r="C89" s="508" t="s">
        <v>179</v>
      </c>
      <c r="D89" s="508"/>
      <c r="E89" s="508"/>
      <c r="F89" s="28"/>
      <c r="G89" s="11"/>
      <c r="O89" s="12">
        <v>1428833</v>
      </c>
      <c r="Q89" s="12">
        <v>0</v>
      </c>
      <c r="S89" s="13">
        <f>IF(ISERROR(O89-Q89),0,O89-Q89)</f>
        <v>1428833</v>
      </c>
    </row>
    <row r="90" spans="2:7" ht="12">
      <c r="B90" s="18"/>
      <c r="C90" s="22"/>
      <c r="D90" s="22"/>
      <c r="E90" s="22"/>
      <c r="F90" s="19"/>
      <c r="G90" s="11"/>
    </row>
    <row r="91" spans="2:7" ht="12">
      <c r="B91" s="18"/>
      <c r="C91" s="499" t="s">
        <v>180</v>
      </c>
      <c r="D91" s="499"/>
      <c r="E91" s="499"/>
      <c r="F91" s="26"/>
      <c r="G91" s="11"/>
    </row>
    <row r="92" spans="2:19" ht="12">
      <c r="B92" s="18" t="s">
        <v>181</v>
      </c>
      <c r="C92" s="508" t="s">
        <v>182</v>
      </c>
      <c r="D92" s="508"/>
      <c r="E92" s="508"/>
      <c r="F92" s="19"/>
      <c r="G92" s="11"/>
      <c r="O92" s="12">
        <v>326266</v>
      </c>
      <c r="Q92" s="12">
        <v>61570</v>
      </c>
      <c r="S92" s="13">
        <f aca="true" t="shared" si="6" ref="S92:S104">IF(ISERROR(O92-Q92),0,O92-Q92)</f>
        <v>264696</v>
      </c>
    </row>
    <row r="93" spans="2:19" ht="12">
      <c r="B93" s="18" t="s">
        <v>183</v>
      </c>
      <c r="C93" s="508" t="s">
        <v>184</v>
      </c>
      <c r="D93" s="508"/>
      <c r="E93" s="508"/>
      <c r="F93" s="19"/>
      <c r="G93" s="11"/>
      <c r="O93" s="12">
        <v>106169</v>
      </c>
      <c r="Q93" s="12">
        <v>0</v>
      </c>
      <c r="S93" s="13">
        <f t="shared" si="6"/>
        <v>106169</v>
      </c>
    </row>
    <row r="94" spans="2:19" ht="12">
      <c r="B94" s="18" t="s">
        <v>185</v>
      </c>
      <c r="C94" s="508" t="s">
        <v>186</v>
      </c>
      <c r="D94" s="508"/>
      <c r="E94" s="508"/>
      <c r="F94" s="19"/>
      <c r="G94" s="11"/>
      <c r="O94" s="12">
        <v>54615</v>
      </c>
      <c r="Q94" s="12">
        <v>0</v>
      </c>
      <c r="S94" s="13">
        <f t="shared" si="6"/>
        <v>54615</v>
      </c>
    </row>
    <row r="95" spans="2:19" ht="12">
      <c r="B95" s="18" t="s">
        <v>187</v>
      </c>
      <c r="C95" s="508" t="s">
        <v>188</v>
      </c>
      <c r="D95" s="508"/>
      <c r="E95" s="508"/>
      <c r="F95" s="19"/>
      <c r="G95" s="11"/>
      <c r="O95" s="12">
        <v>0</v>
      </c>
      <c r="Q95" s="12">
        <v>0</v>
      </c>
      <c r="S95" s="13">
        <f t="shared" si="6"/>
        <v>0</v>
      </c>
    </row>
    <row r="96" spans="2:19" ht="12">
      <c r="B96" s="18" t="s">
        <v>189</v>
      </c>
      <c r="C96" s="508" t="s">
        <v>190</v>
      </c>
      <c r="D96" s="508"/>
      <c r="E96" s="508"/>
      <c r="F96" s="19"/>
      <c r="G96" s="12">
        <v>0</v>
      </c>
      <c r="I96" s="12">
        <v>0</v>
      </c>
      <c r="K96" s="12">
        <v>0</v>
      </c>
      <c r="M96" s="12">
        <v>0</v>
      </c>
      <c r="O96" s="13">
        <f>SUM(G96:M96)</f>
        <v>0</v>
      </c>
      <c r="Q96" s="12">
        <v>0</v>
      </c>
      <c r="S96" s="13">
        <f t="shared" si="6"/>
        <v>0</v>
      </c>
    </row>
    <row r="97" spans="2:19" ht="12">
      <c r="B97" s="18" t="s">
        <v>191</v>
      </c>
      <c r="C97" s="508" t="s">
        <v>192</v>
      </c>
      <c r="D97" s="508"/>
      <c r="E97" s="508"/>
      <c r="F97" s="19"/>
      <c r="G97" s="12">
        <v>0</v>
      </c>
      <c r="I97" s="12">
        <v>218715</v>
      </c>
      <c r="K97" s="12">
        <v>373931</v>
      </c>
      <c r="M97" s="12">
        <v>1452386</v>
      </c>
      <c r="O97" s="13">
        <f>SUM(G97:M97)</f>
        <v>2045032</v>
      </c>
      <c r="Q97" s="12">
        <v>0</v>
      </c>
      <c r="S97" s="13">
        <f t="shared" si="6"/>
        <v>2045032</v>
      </c>
    </row>
    <row r="98" spans="2:19" ht="12">
      <c r="B98" s="18" t="s">
        <v>193</v>
      </c>
      <c r="C98" s="508" t="s">
        <v>194</v>
      </c>
      <c r="D98" s="508"/>
      <c r="E98" s="508"/>
      <c r="F98" s="19"/>
      <c r="G98" s="12">
        <v>0</v>
      </c>
      <c r="I98" s="12">
        <v>229546</v>
      </c>
      <c r="K98" s="12">
        <v>244556</v>
      </c>
      <c r="M98" s="12">
        <v>0</v>
      </c>
      <c r="O98" s="13">
        <f>SUM(G98:M98)</f>
        <v>474102</v>
      </c>
      <c r="Q98" s="12">
        <v>0</v>
      </c>
      <c r="S98" s="13">
        <f t="shared" si="6"/>
        <v>474102</v>
      </c>
    </row>
    <row r="99" spans="2:19" ht="12">
      <c r="B99" s="18" t="s">
        <v>195</v>
      </c>
      <c r="C99" s="508" t="s">
        <v>196</v>
      </c>
      <c r="D99" s="508"/>
      <c r="E99" s="508"/>
      <c r="F99" s="19"/>
      <c r="G99" s="11"/>
      <c r="O99" s="12">
        <v>46422</v>
      </c>
      <c r="Q99" s="12">
        <v>40485</v>
      </c>
      <c r="S99" s="13">
        <f t="shared" si="6"/>
        <v>5937</v>
      </c>
    </row>
    <row r="100" spans="2:19" ht="12.75" customHeight="1">
      <c r="B100" s="18" t="s">
        <v>197</v>
      </c>
      <c r="C100" s="508" t="s">
        <v>198</v>
      </c>
      <c r="D100" s="508"/>
      <c r="E100" s="508"/>
      <c r="F100" s="28"/>
      <c r="G100" s="11"/>
      <c r="O100" s="12">
        <v>43257</v>
      </c>
      <c r="Q100" s="12">
        <v>37725</v>
      </c>
      <c r="S100" s="13">
        <f t="shared" si="6"/>
        <v>5532</v>
      </c>
    </row>
    <row r="101" spans="2:19" ht="12">
      <c r="B101" s="18" t="s">
        <v>199</v>
      </c>
      <c r="C101" s="508" t="s">
        <v>200</v>
      </c>
      <c r="D101" s="508"/>
      <c r="E101" s="508"/>
      <c r="F101" s="19"/>
      <c r="G101" s="11"/>
      <c r="O101" s="12">
        <v>532491</v>
      </c>
      <c r="Q101" s="12">
        <v>12930</v>
      </c>
      <c r="S101" s="13">
        <f t="shared" si="6"/>
        <v>519561</v>
      </c>
    </row>
    <row r="102" spans="2:19" ht="12">
      <c r="B102" s="18" t="s">
        <v>201</v>
      </c>
      <c r="C102" s="508" t="s">
        <v>202</v>
      </c>
      <c r="D102" s="508"/>
      <c r="E102" s="508"/>
      <c r="F102" s="19"/>
      <c r="G102" s="11"/>
      <c r="O102" s="12">
        <v>755298</v>
      </c>
      <c r="Q102" s="12">
        <v>368450</v>
      </c>
      <c r="S102" s="13">
        <f t="shared" si="6"/>
        <v>386848</v>
      </c>
    </row>
    <row r="103" spans="2:19" ht="12">
      <c r="B103" s="18" t="s">
        <v>203</v>
      </c>
      <c r="C103" s="508" t="s">
        <v>204</v>
      </c>
      <c r="D103" s="508"/>
      <c r="E103" s="508"/>
      <c r="F103" s="19"/>
      <c r="G103" s="11"/>
      <c r="O103" s="12">
        <v>0</v>
      </c>
      <c r="Q103" s="12">
        <v>0</v>
      </c>
      <c r="S103" s="13">
        <f t="shared" si="6"/>
        <v>0</v>
      </c>
    </row>
    <row r="104" spans="2:19" ht="12.75" thickBot="1">
      <c r="B104" s="18" t="s">
        <v>205</v>
      </c>
      <c r="C104" s="508" t="s">
        <v>206</v>
      </c>
      <c r="D104" s="508"/>
      <c r="E104" s="508"/>
      <c r="F104" s="19"/>
      <c r="G104" s="11"/>
      <c r="O104" s="12">
        <v>44961</v>
      </c>
      <c r="Q104" s="12">
        <v>0</v>
      </c>
      <c r="S104" s="13">
        <f t="shared" si="6"/>
        <v>44961</v>
      </c>
    </row>
    <row r="105" spans="2:19" ht="12.75" thickBot="1">
      <c r="B105" s="18" t="s">
        <v>207</v>
      </c>
      <c r="C105" s="508" t="s">
        <v>208</v>
      </c>
      <c r="D105" s="508"/>
      <c r="E105" s="508"/>
      <c r="F105" s="19"/>
      <c r="G105" s="11"/>
      <c r="O105" s="40">
        <f>SUM(O92:O104)</f>
        <v>4428613</v>
      </c>
      <c r="Q105" s="40">
        <f>SUM(Q92:Q104)</f>
        <v>521160</v>
      </c>
      <c r="S105" s="40">
        <f>IF(ISERROR(O105-Q105),0,O105-Q105)</f>
        <v>3907453</v>
      </c>
    </row>
    <row r="106" spans="2:7" ht="12">
      <c r="B106" s="30"/>
      <c r="C106" s="22" t="s">
        <v>209</v>
      </c>
      <c r="D106" s="22"/>
      <c r="E106" s="22"/>
      <c r="F106" s="19"/>
      <c r="G106" s="11"/>
    </row>
    <row r="107" spans="2:19" ht="12">
      <c r="B107" s="18" t="s">
        <v>210</v>
      </c>
      <c r="C107" s="508" t="s">
        <v>211</v>
      </c>
      <c r="D107" s="508"/>
      <c r="E107" s="508"/>
      <c r="F107" s="19"/>
      <c r="G107" s="11"/>
      <c r="O107" s="12">
        <v>0</v>
      </c>
      <c r="Q107" s="12">
        <v>0</v>
      </c>
      <c r="S107" s="13">
        <f>IF(ISERROR(O107-Q107),0,O107-Q107)</f>
        <v>0</v>
      </c>
    </row>
    <row r="108" spans="2:7" ht="12.75" thickBot="1">
      <c r="B108" s="18"/>
      <c r="C108" s="22"/>
      <c r="D108" s="22"/>
      <c r="E108" s="22"/>
      <c r="F108" s="19"/>
      <c r="G108" s="11"/>
    </row>
    <row r="109" spans="2:19" ht="12.75" thickBot="1">
      <c r="B109" s="18" t="s">
        <v>212</v>
      </c>
      <c r="C109" s="508" t="s">
        <v>213</v>
      </c>
      <c r="D109" s="508"/>
      <c r="E109" s="508"/>
      <c r="F109" s="19"/>
      <c r="G109" s="11"/>
      <c r="O109" s="40">
        <f>SUM(O71,O77,O86,O89,O105,O107)</f>
        <v>13035981</v>
      </c>
      <c r="Q109" s="40">
        <f>SUM(Q71,Q77,Q86,Q89,Q105,Q107)</f>
        <v>2016650</v>
      </c>
      <c r="S109" s="40">
        <f>IF(ISERROR(O109-Q109),0,O109-Q109)</f>
        <v>11019331</v>
      </c>
    </row>
    <row r="110" spans="2:7" ht="12">
      <c r="B110" s="18"/>
      <c r="C110" s="22"/>
      <c r="D110" s="22"/>
      <c r="E110" s="22"/>
      <c r="F110" s="19"/>
      <c r="G110" s="11"/>
    </row>
    <row r="111" spans="2:7" ht="12">
      <c r="B111" s="22"/>
      <c r="C111" s="499" t="s">
        <v>214</v>
      </c>
      <c r="D111" s="499"/>
      <c r="E111" s="499"/>
      <c r="F111" s="19"/>
      <c r="G111" s="11"/>
    </row>
    <row r="112" spans="2:19" ht="12">
      <c r="B112" s="18" t="s">
        <v>215</v>
      </c>
      <c r="C112" s="508" t="s">
        <v>216</v>
      </c>
      <c r="D112" s="508"/>
      <c r="E112" s="508"/>
      <c r="F112" s="19"/>
      <c r="G112" s="11"/>
      <c r="O112" s="12">
        <v>1336163</v>
      </c>
      <c r="Q112" s="12">
        <v>246640</v>
      </c>
      <c r="S112" s="13">
        <f aca="true" t="shared" si="7" ref="S112:S117">IF(ISERROR(O112-Q112),0,O112-Q112)</f>
        <v>1089523</v>
      </c>
    </row>
    <row r="113" spans="2:19" ht="12">
      <c r="B113" s="18" t="s">
        <v>217</v>
      </c>
      <c r="C113" s="508" t="s">
        <v>218</v>
      </c>
      <c r="D113" s="508"/>
      <c r="E113" s="508"/>
      <c r="F113" s="19"/>
      <c r="G113" s="11"/>
      <c r="O113" s="12">
        <v>622025</v>
      </c>
      <c r="Q113" s="12">
        <v>409800</v>
      </c>
      <c r="S113" s="13">
        <f t="shared" si="7"/>
        <v>212225</v>
      </c>
    </row>
    <row r="114" spans="2:19" ht="12">
      <c r="B114" s="18" t="s">
        <v>219</v>
      </c>
      <c r="C114" s="508" t="s">
        <v>220</v>
      </c>
      <c r="D114" s="508"/>
      <c r="E114" s="508"/>
      <c r="F114" s="19"/>
      <c r="G114" s="11"/>
      <c r="O114" s="12">
        <v>0</v>
      </c>
      <c r="Q114" s="12">
        <v>0</v>
      </c>
      <c r="S114" s="13">
        <f t="shared" si="7"/>
        <v>0</v>
      </c>
    </row>
    <row r="115" spans="2:19" ht="12">
      <c r="B115" s="18" t="s">
        <v>221</v>
      </c>
      <c r="C115" s="508" t="s">
        <v>222</v>
      </c>
      <c r="D115" s="508"/>
      <c r="E115" s="508"/>
      <c r="F115" s="19"/>
      <c r="G115" s="11"/>
      <c r="O115" s="12">
        <v>108360</v>
      </c>
      <c r="Q115" s="12">
        <v>0</v>
      </c>
      <c r="S115" s="13">
        <f t="shared" si="7"/>
        <v>108360</v>
      </c>
    </row>
    <row r="116" spans="2:19" ht="12">
      <c r="B116" s="18" t="s">
        <v>223</v>
      </c>
      <c r="C116" s="508" t="s">
        <v>224</v>
      </c>
      <c r="D116" s="508"/>
      <c r="E116" s="508"/>
      <c r="F116" s="19"/>
      <c r="G116" s="11"/>
      <c r="O116" s="12">
        <v>0</v>
      </c>
      <c r="Q116" s="12">
        <v>0</v>
      </c>
      <c r="S116" s="13">
        <f t="shared" si="7"/>
        <v>0</v>
      </c>
    </row>
    <row r="117" spans="2:19" ht="12.75" thickBot="1">
      <c r="B117" s="18" t="s">
        <v>225</v>
      </c>
      <c r="C117" s="508" t="s">
        <v>226</v>
      </c>
      <c r="D117" s="508"/>
      <c r="E117" s="508"/>
      <c r="F117" s="19"/>
      <c r="G117" s="11"/>
      <c r="O117" s="12">
        <v>18160</v>
      </c>
      <c r="Q117" s="12">
        <v>0</v>
      </c>
      <c r="S117" s="13">
        <f t="shared" si="7"/>
        <v>18160</v>
      </c>
    </row>
    <row r="118" spans="2:19" ht="12.75" thickBot="1">
      <c r="B118" s="18" t="s">
        <v>227</v>
      </c>
      <c r="C118" s="508" t="s">
        <v>228</v>
      </c>
      <c r="D118" s="508"/>
      <c r="E118" s="508"/>
      <c r="F118" s="26"/>
      <c r="G118" s="11"/>
      <c r="O118" s="40">
        <f>SUM(O112:O117)</f>
        <v>2084708</v>
      </c>
      <c r="Q118" s="40">
        <f>SUM(Q112:Q117)</f>
        <v>656440</v>
      </c>
      <c r="S118" s="40">
        <f>IF(ISERROR(O118-Q118),0,O118-Q118)</f>
        <v>1428268</v>
      </c>
    </row>
    <row r="119" spans="2:7" ht="12.75" thickBot="1">
      <c r="B119" s="18"/>
      <c r="C119" s="22"/>
      <c r="D119" s="22"/>
      <c r="E119" s="22"/>
      <c r="F119" s="19"/>
      <c r="G119" s="11"/>
    </row>
    <row r="120" spans="2:19" ht="12.75" thickBot="1">
      <c r="B120" s="18" t="s">
        <v>229</v>
      </c>
      <c r="C120" s="508" t="s">
        <v>230</v>
      </c>
      <c r="D120" s="508"/>
      <c r="E120" s="508"/>
      <c r="F120" s="26"/>
      <c r="G120" s="11"/>
      <c r="O120" s="40">
        <f>SUM(O109,O118)</f>
        <v>15120689</v>
      </c>
      <c r="Q120" s="40">
        <f>SUM(Q109,Q118)</f>
        <v>2673090</v>
      </c>
      <c r="S120" s="40">
        <f>IF(ISERROR(O120-Q120),0,O120-Q120)</f>
        <v>12447599</v>
      </c>
    </row>
    <row r="121" spans="2:7" ht="12.75" thickBot="1">
      <c r="B121" s="18"/>
      <c r="C121" s="22"/>
      <c r="D121" s="22"/>
      <c r="E121" s="22"/>
      <c r="F121" s="19"/>
      <c r="G121" s="11"/>
    </row>
    <row r="122" spans="2:19" ht="13.5" thickBot="1" thickTop="1">
      <c r="B122" s="34">
        <v>3</v>
      </c>
      <c r="C122" s="508" t="s">
        <v>231</v>
      </c>
      <c r="D122" s="508"/>
      <c r="E122" s="508"/>
      <c r="F122" s="19"/>
      <c r="G122" s="11"/>
      <c r="O122" s="32">
        <f>SUM(O59,O120)</f>
        <v>151243553</v>
      </c>
      <c r="Q122" s="32">
        <f>SUM(Q59,Q120)</f>
        <v>21714671</v>
      </c>
      <c r="S122" s="32">
        <f>IF(ISERROR(O122-Q122),0,O122-Q122)</f>
        <v>129528882</v>
      </c>
    </row>
    <row r="123" spans="2:7" ht="12.75" thickTop="1">
      <c r="B123" s="18"/>
      <c r="C123" s="35"/>
      <c r="D123" s="22"/>
      <c r="E123" s="22"/>
      <c r="F123" s="19"/>
      <c r="G123" s="11"/>
    </row>
    <row r="124" spans="2:19" ht="12">
      <c r="B124" s="34">
        <v>4</v>
      </c>
      <c r="C124" s="508" t="s">
        <v>232</v>
      </c>
      <c r="D124" s="508"/>
      <c r="E124" s="508"/>
      <c r="F124" s="42"/>
      <c r="G124" s="12">
        <v>7000</v>
      </c>
      <c r="I124" s="12">
        <v>7784000</v>
      </c>
      <c r="K124" s="12">
        <f>9045000+100000+258400</f>
        <v>9403400</v>
      </c>
      <c r="M124" s="12">
        <v>1676000</v>
      </c>
      <c r="O124" s="13">
        <f>SUM(G124:M124)</f>
        <v>18870400</v>
      </c>
      <c r="Q124" s="12">
        <f>11548000+100000+358400</f>
        <v>12006400</v>
      </c>
      <c r="S124" s="13">
        <f>IF(ISERROR(O124-Q124),0,O124-Q124)</f>
        <v>6864000</v>
      </c>
    </row>
    <row r="125" spans="2:7" ht="12">
      <c r="B125" s="18"/>
      <c r="C125" s="35"/>
      <c r="D125" s="22"/>
      <c r="E125" s="22"/>
      <c r="F125" s="19"/>
      <c r="G125" s="11"/>
    </row>
    <row r="126" spans="2:7" ht="12.75" customHeight="1">
      <c r="B126" s="43"/>
      <c r="C126" s="498" t="s">
        <v>233</v>
      </c>
      <c r="D126" s="498"/>
      <c r="E126" s="498"/>
      <c r="F126" s="44"/>
      <c r="G126" s="11"/>
    </row>
    <row r="127" spans="2:7" ht="12">
      <c r="B127" s="9"/>
      <c r="C127" s="9"/>
      <c r="D127" s="9"/>
      <c r="E127" s="9"/>
      <c r="F127" s="11"/>
      <c r="G127" s="11"/>
    </row>
    <row r="128" spans="2:19" ht="12">
      <c r="B128" s="9">
        <v>5</v>
      </c>
      <c r="C128" s="508" t="s">
        <v>234</v>
      </c>
      <c r="D128" s="508"/>
      <c r="E128" s="508"/>
      <c r="F128" s="508"/>
      <c r="G128" s="508"/>
      <c r="H128" s="508"/>
      <c r="I128" s="508"/>
      <c r="J128" s="508"/>
      <c r="K128" s="508"/>
      <c r="L128" s="508"/>
      <c r="M128" s="508"/>
      <c r="N128" s="508"/>
      <c r="O128" s="508"/>
      <c r="P128" s="508"/>
      <c r="Q128" s="508"/>
      <c r="R128" s="508"/>
      <c r="S128" s="508"/>
    </row>
    <row r="129" spans="2:7" ht="12">
      <c r="B129" s="9"/>
      <c r="C129" s="9"/>
      <c r="D129" s="9"/>
      <c r="E129" s="9"/>
      <c r="F129" s="11"/>
      <c r="G129" s="11"/>
    </row>
    <row r="130" spans="2:19" ht="25.5" customHeight="1">
      <c r="B130" s="29" t="s">
        <v>235</v>
      </c>
      <c r="C130" s="508" t="s">
        <v>236</v>
      </c>
      <c r="D130" s="508"/>
      <c r="E130" s="508"/>
      <c r="F130" s="11"/>
      <c r="G130" s="11"/>
      <c r="K130" s="23">
        <v>2937273</v>
      </c>
      <c r="O130" s="24">
        <f>SUM(K130)</f>
        <v>2937273</v>
      </c>
      <c r="Q130" s="23">
        <f>+O130</f>
        <v>2937273</v>
      </c>
      <c r="S130" s="24">
        <f>IF(ISERROR(O130-Q130),0,O130-Q130)</f>
        <v>0</v>
      </c>
    </row>
    <row r="131" spans="2:19" ht="25.5" customHeight="1">
      <c r="B131" s="29" t="s">
        <v>237</v>
      </c>
      <c r="C131" s="508" t="s">
        <v>238</v>
      </c>
      <c r="D131" s="508"/>
      <c r="E131" s="508"/>
      <c r="F131" s="11"/>
      <c r="G131" s="11"/>
      <c r="M131" s="23">
        <v>270654</v>
      </c>
      <c r="O131" s="24">
        <f>SUM(M131)</f>
        <v>270654</v>
      </c>
      <c r="Q131" s="23">
        <f>+O131</f>
        <v>270654</v>
      </c>
      <c r="S131" s="24">
        <f>IF(ISERROR(O131-Q131),0,O131-Q131)</f>
        <v>0</v>
      </c>
    </row>
    <row r="132" spans="2:7" ht="12">
      <c r="B132" s="29"/>
      <c r="C132" s="45"/>
      <c r="D132" s="45"/>
      <c r="E132" s="45"/>
      <c r="F132" s="11"/>
      <c r="G132" s="11"/>
    </row>
    <row r="133" spans="2:19" ht="25.5" customHeight="1">
      <c r="B133" s="29" t="s">
        <v>239</v>
      </c>
      <c r="C133" s="508" t="s">
        <v>240</v>
      </c>
      <c r="D133" s="508"/>
      <c r="E133" s="508"/>
      <c r="F133" s="11"/>
      <c r="G133" s="11"/>
      <c r="K133" s="23">
        <v>0</v>
      </c>
      <c r="M133" s="23">
        <v>0</v>
      </c>
      <c r="O133" s="24">
        <f>SUM(K133:M133)</f>
        <v>0</v>
      </c>
      <c r="Q133" s="23">
        <v>0</v>
      </c>
      <c r="S133" s="24">
        <f>IF(ISERROR(O133-Q133),0,O133-Q133)</f>
        <v>0</v>
      </c>
    </row>
    <row r="134" spans="2:19" ht="25.5" customHeight="1">
      <c r="B134" s="29" t="s">
        <v>241</v>
      </c>
      <c r="C134" s="508" t="s">
        <v>242</v>
      </c>
      <c r="D134" s="508"/>
      <c r="E134" s="508"/>
      <c r="F134" s="11"/>
      <c r="G134" s="11"/>
      <c r="K134" s="23">
        <v>0</v>
      </c>
      <c r="M134" s="23">
        <v>0</v>
      </c>
      <c r="O134" s="24">
        <f>SUM(K134:M134)</f>
        <v>0</v>
      </c>
      <c r="Q134" s="23">
        <v>0</v>
      </c>
      <c r="S134" s="24">
        <f>IF(ISERROR(O134-Q134),0,O134-Q134)</f>
        <v>0</v>
      </c>
    </row>
    <row r="135" spans="2:19" ht="25.5" customHeight="1">
      <c r="B135" s="29" t="s">
        <v>243</v>
      </c>
      <c r="C135" s="508" t="s">
        <v>244</v>
      </c>
      <c r="D135" s="508"/>
      <c r="E135" s="508"/>
      <c r="F135" s="11"/>
      <c r="G135" s="11"/>
      <c r="K135" s="23">
        <v>0</v>
      </c>
      <c r="M135" s="23">
        <v>122225</v>
      </c>
      <c r="O135" s="24">
        <f>SUM(K135:M135)</f>
        <v>122225</v>
      </c>
      <c r="Q135" s="23">
        <f>+O135</f>
        <v>122225</v>
      </c>
      <c r="S135" s="24">
        <f>IF(ISERROR(O135-Q135),0,O135-Q135)</f>
        <v>0</v>
      </c>
    </row>
    <row r="136" spans="2:19" ht="25.5" customHeight="1">
      <c r="B136" s="29" t="s">
        <v>245</v>
      </c>
      <c r="C136" s="508" t="s">
        <v>246</v>
      </c>
      <c r="D136" s="508"/>
      <c r="E136" s="508"/>
      <c r="F136" s="11"/>
      <c r="G136" s="11"/>
      <c r="K136" s="23">
        <v>0</v>
      </c>
      <c r="M136" s="23">
        <v>0</v>
      </c>
      <c r="O136" s="24">
        <f>SUM(K136:M136)</f>
        <v>0</v>
      </c>
      <c r="Q136" s="23">
        <f>+O136</f>
        <v>0</v>
      </c>
      <c r="S136" s="24">
        <f>IF(ISERROR(O136-Q136),0,O136-Q136)</f>
        <v>0</v>
      </c>
    </row>
    <row r="137" spans="2:7" ht="12">
      <c r="B137" s="9"/>
      <c r="C137" s="46"/>
      <c r="D137" s="46"/>
      <c r="E137" s="46"/>
      <c r="F137" s="11"/>
      <c r="G137" s="11"/>
    </row>
    <row r="138" spans="2:19" ht="25.5" customHeight="1">
      <c r="B138" s="29" t="s">
        <v>247</v>
      </c>
      <c r="C138" s="508" t="s">
        <v>248</v>
      </c>
      <c r="D138" s="508"/>
      <c r="E138" s="508"/>
      <c r="F138" s="11"/>
      <c r="G138" s="11"/>
      <c r="K138" s="23">
        <v>137131</v>
      </c>
      <c r="M138" s="23">
        <v>0</v>
      </c>
      <c r="O138" s="24">
        <f>SUM(K138:M138)</f>
        <v>137131</v>
      </c>
      <c r="Q138" s="23">
        <f>+O138</f>
        <v>137131</v>
      </c>
      <c r="S138" s="24">
        <f>IF(ISERROR(O138-Q138),0,O138-Q138)</f>
        <v>0</v>
      </c>
    </row>
    <row r="139" spans="2:19" ht="25.5" customHeight="1">
      <c r="B139" s="29" t="s">
        <v>249</v>
      </c>
      <c r="C139" s="508" t="s">
        <v>250</v>
      </c>
      <c r="D139" s="508"/>
      <c r="E139" s="508"/>
      <c r="F139" s="11"/>
      <c r="G139" s="11"/>
      <c r="K139" s="23">
        <v>0</v>
      </c>
      <c r="M139" s="23">
        <v>0</v>
      </c>
      <c r="O139" s="24">
        <f>SUM(K139:M139)</f>
        <v>0</v>
      </c>
      <c r="Q139" s="23">
        <v>0</v>
      </c>
      <c r="S139" s="24">
        <f>IF(ISERROR(O139-Q139),0,O139-Q139)</f>
        <v>0</v>
      </c>
    </row>
    <row r="140" ht="12.75" thickBot="1"/>
    <row r="141" spans="1:19" ht="12.75" customHeight="1">
      <c r="A141" s="509" t="s">
        <v>251</v>
      </c>
      <c r="B141" s="510"/>
      <c r="C141" s="510"/>
      <c r="D141" s="510"/>
      <c r="E141" s="510"/>
      <c r="F141" s="510"/>
      <c r="G141" s="510"/>
      <c r="H141" s="510"/>
      <c r="I141" s="510"/>
      <c r="J141" s="510"/>
      <c r="K141" s="510"/>
      <c r="L141" s="510"/>
      <c r="M141" s="510"/>
      <c r="N141" s="510"/>
      <c r="O141" s="510"/>
      <c r="P141" s="510"/>
      <c r="Q141" s="510"/>
      <c r="R141" s="510"/>
      <c r="S141" s="511"/>
    </row>
    <row r="142" spans="1:19" ht="12.75" customHeight="1" thickBot="1">
      <c r="A142" s="513" t="s">
        <v>13</v>
      </c>
      <c r="B142" s="506"/>
      <c r="C142" s="506"/>
      <c r="D142" s="506"/>
      <c r="E142" s="506"/>
      <c r="F142" s="506"/>
      <c r="G142" s="506"/>
      <c r="H142" s="506"/>
      <c r="I142" s="506"/>
      <c r="J142" s="506"/>
      <c r="K142" s="506"/>
      <c r="L142" s="506"/>
      <c r="M142" s="506"/>
      <c r="N142" s="506"/>
      <c r="O142" s="506"/>
      <c r="P142" s="506"/>
      <c r="Q142" s="506"/>
      <c r="R142" s="506"/>
      <c r="S142" s="507"/>
    </row>
    <row r="143" spans="1:19" ht="12.75" thickBot="1">
      <c r="A143" s="528" t="s">
        <v>253</v>
      </c>
      <c r="B143" s="529"/>
      <c r="C143" s="529"/>
      <c r="D143" s="529"/>
      <c r="E143" s="529"/>
      <c r="F143" s="529"/>
      <c r="G143" s="529"/>
      <c r="H143" s="529"/>
      <c r="I143" s="529"/>
      <c r="J143" s="529"/>
      <c r="K143" s="529"/>
      <c r="L143" s="529"/>
      <c r="M143" s="529"/>
      <c r="N143" s="529"/>
      <c r="O143" s="529"/>
      <c r="P143" s="529"/>
      <c r="Q143" s="529"/>
      <c r="R143" s="529"/>
      <c r="S143" s="530"/>
    </row>
    <row r="144" spans="1:19" ht="12">
      <c r="A144" s="531" t="s">
        <v>254</v>
      </c>
      <c r="B144" s="532"/>
      <c r="C144" s="532"/>
      <c r="D144" s="532"/>
      <c r="E144" s="532"/>
      <c r="F144" s="532"/>
      <c r="G144" s="532"/>
      <c r="H144" s="532"/>
      <c r="I144" s="532"/>
      <c r="J144" s="532"/>
      <c r="K144" s="532"/>
      <c r="L144" s="532"/>
      <c r="M144" s="532"/>
      <c r="N144" s="532"/>
      <c r="O144" s="532"/>
      <c r="P144" s="532"/>
      <c r="Q144" s="532"/>
      <c r="R144" s="532"/>
      <c r="S144" s="512"/>
    </row>
    <row r="145" spans="1:19" ht="12">
      <c r="A145" s="50" t="s">
        <v>255</v>
      </c>
      <c r="B145" s="51"/>
      <c r="C145" s="51"/>
      <c r="D145" s="51"/>
      <c r="E145" s="51"/>
      <c r="F145" s="51"/>
      <c r="G145" s="51"/>
      <c r="H145" s="51"/>
      <c r="I145" s="51"/>
      <c r="J145" s="51"/>
      <c r="K145" s="51"/>
      <c r="L145" s="51"/>
      <c r="M145" s="51"/>
      <c r="N145" s="51"/>
      <c r="O145" s="51"/>
      <c r="P145" s="51"/>
      <c r="Q145" s="51"/>
      <c r="R145" s="51"/>
      <c r="S145" s="52"/>
    </row>
    <row r="146" spans="1:19" ht="12">
      <c r="A146" s="50" t="s">
        <v>256</v>
      </c>
      <c r="B146" s="51"/>
      <c r="C146" s="51"/>
      <c r="D146" s="51"/>
      <c r="E146" s="51"/>
      <c r="F146" s="51"/>
      <c r="G146" s="51"/>
      <c r="H146" s="51"/>
      <c r="I146" s="51"/>
      <c r="J146" s="51"/>
      <c r="K146" s="51"/>
      <c r="L146" s="51"/>
      <c r="M146" s="51"/>
      <c r="N146" s="51"/>
      <c r="O146" s="51"/>
      <c r="P146" s="51"/>
      <c r="Q146" s="51"/>
      <c r="R146" s="51"/>
      <c r="S146" s="52"/>
    </row>
    <row r="147" spans="1:19" ht="12">
      <c r="A147" s="50" t="s">
        <v>257</v>
      </c>
      <c r="B147" s="51"/>
      <c r="C147" s="51"/>
      <c r="D147" s="51"/>
      <c r="E147" s="51"/>
      <c r="F147" s="51"/>
      <c r="G147" s="51"/>
      <c r="H147" s="51"/>
      <c r="I147" s="51"/>
      <c r="J147" s="51"/>
      <c r="K147" s="51"/>
      <c r="L147" s="51"/>
      <c r="M147" s="51"/>
      <c r="N147" s="51"/>
      <c r="O147" s="51"/>
      <c r="P147" s="51"/>
      <c r="Q147" s="51"/>
      <c r="R147" s="51"/>
      <c r="S147" s="52"/>
    </row>
    <row r="148" spans="1:19" ht="12">
      <c r="A148" s="50" t="s">
        <v>258</v>
      </c>
      <c r="B148" s="51"/>
      <c r="C148" s="51"/>
      <c r="D148" s="51"/>
      <c r="E148" s="51"/>
      <c r="F148" s="51"/>
      <c r="G148" s="51"/>
      <c r="H148" s="51"/>
      <c r="I148" s="51"/>
      <c r="J148" s="51"/>
      <c r="K148" s="51"/>
      <c r="L148" s="51"/>
      <c r="M148" s="51"/>
      <c r="N148" s="51"/>
      <c r="O148" s="51"/>
      <c r="P148" s="51"/>
      <c r="Q148" s="51"/>
      <c r="R148" s="51"/>
      <c r="S148" s="52"/>
    </row>
    <row r="149" spans="1:19" ht="12">
      <c r="A149" s="522"/>
      <c r="B149" s="523"/>
      <c r="C149" s="523"/>
      <c r="D149" s="523"/>
      <c r="E149" s="523"/>
      <c r="F149" s="523"/>
      <c r="G149" s="523"/>
      <c r="H149" s="523"/>
      <c r="I149" s="523"/>
      <c r="J149" s="523"/>
      <c r="K149" s="523"/>
      <c r="L149" s="523"/>
      <c r="M149" s="523"/>
      <c r="N149" s="523"/>
      <c r="O149" s="523"/>
      <c r="P149" s="523"/>
      <c r="Q149" s="523"/>
      <c r="R149" s="523"/>
      <c r="S149" s="524"/>
    </row>
    <row r="150" spans="1:19" ht="12">
      <c r="A150" s="525" t="s">
        <v>259</v>
      </c>
      <c r="B150" s="526"/>
      <c r="C150" s="526"/>
      <c r="D150" s="526"/>
      <c r="E150" s="526"/>
      <c r="F150" s="526"/>
      <c r="G150" s="526"/>
      <c r="H150" s="526"/>
      <c r="I150" s="526"/>
      <c r="J150" s="526"/>
      <c r="K150" s="526"/>
      <c r="L150" s="526"/>
      <c r="M150" s="526"/>
      <c r="N150" s="526"/>
      <c r="O150" s="526"/>
      <c r="P150" s="526"/>
      <c r="Q150" s="526"/>
      <c r="R150" s="526"/>
      <c r="S150" s="527"/>
    </row>
    <row r="151" spans="1:19" ht="12">
      <c r="A151" s="50" t="s">
        <v>260</v>
      </c>
      <c r="B151" s="51"/>
      <c r="C151" s="51"/>
      <c r="D151" s="51"/>
      <c r="E151" s="51"/>
      <c r="F151" s="51"/>
      <c r="G151" s="51"/>
      <c r="H151" s="51"/>
      <c r="I151" s="51"/>
      <c r="J151" s="51"/>
      <c r="K151" s="51"/>
      <c r="L151" s="51"/>
      <c r="M151" s="51"/>
      <c r="N151" s="51"/>
      <c r="O151" s="51"/>
      <c r="P151" s="51"/>
      <c r="Q151" s="51"/>
      <c r="R151" s="51"/>
      <c r="S151" s="52"/>
    </row>
    <row r="152" spans="1:19" ht="12">
      <c r="A152" s="50" t="s">
        <v>261</v>
      </c>
      <c r="B152" s="51"/>
      <c r="C152" s="51"/>
      <c r="D152" s="51"/>
      <c r="E152" s="51"/>
      <c r="F152" s="51"/>
      <c r="G152" s="51"/>
      <c r="H152" s="51"/>
      <c r="I152" s="51"/>
      <c r="J152" s="51"/>
      <c r="K152" s="51"/>
      <c r="L152" s="51"/>
      <c r="M152" s="51"/>
      <c r="N152" s="51"/>
      <c r="O152" s="51"/>
      <c r="P152" s="51"/>
      <c r="Q152" s="51"/>
      <c r="R152" s="51"/>
      <c r="S152" s="52"/>
    </row>
    <row r="153" spans="1:19" ht="12">
      <c r="A153" s="50" t="s">
        <v>262</v>
      </c>
      <c r="B153" s="51"/>
      <c r="C153" s="51"/>
      <c r="D153" s="51"/>
      <c r="E153" s="51"/>
      <c r="F153" s="51"/>
      <c r="G153" s="51"/>
      <c r="H153" s="51"/>
      <c r="I153" s="51"/>
      <c r="J153" s="51"/>
      <c r="K153" s="51"/>
      <c r="L153" s="51"/>
      <c r="M153" s="51"/>
      <c r="N153" s="51"/>
      <c r="O153" s="51"/>
      <c r="P153" s="51"/>
      <c r="Q153" s="51"/>
      <c r="R153" s="51"/>
      <c r="S153" s="52"/>
    </row>
    <row r="154" spans="1:19" ht="12">
      <c r="A154" s="50" t="s">
        <v>263</v>
      </c>
      <c r="B154" s="51"/>
      <c r="C154" s="51"/>
      <c r="D154" s="51"/>
      <c r="E154" s="51"/>
      <c r="F154" s="51"/>
      <c r="G154" s="51"/>
      <c r="H154" s="51"/>
      <c r="I154" s="51"/>
      <c r="J154" s="51"/>
      <c r="K154" s="51"/>
      <c r="L154" s="51"/>
      <c r="M154" s="51"/>
      <c r="N154" s="51"/>
      <c r="O154" s="51"/>
      <c r="P154" s="51"/>
      <c r="Q154" s="51"/>
      <c r="R154" s="51"/>
      <c r="S154" s="52"/>
    </row>
    <row r="155" spans="1:19" ht="12">
      <c r="A155" s="50" t="s">
        <v>264</v>
      </c>
      <c r="B155" s="51"/>
      <c r="C155" s="51"/>
      <c r="D155" s="51"/>
      <c r="E155" s="51"/>
      <c r="F155" s="51"/>
      <c r="G155" s="51"/>
      <c r="H155" s="51"/>
      <c r="I155" s="51"/>
      <c r="J155" s="51"/>
      <c r="K155" s="51"/>
      <c r="L155" s="51"/>
      <c r="M155" s="51"/>
      <c r="N155" s="51"/>
      <c r="O155" s="51"/>
      <c r="P155" s="51"/>
      <c r="Q155" s="51"/>
      <c r="R155" s="51"/>
      <c r="S155" s="52"/>
    </row>
    <row r="156" spans="1:19" ht="12">
      <c r="A156" s="50" t="s">
        <v>265</v>
      </c>
      <c r="B156" s="51"/>
      <c r="C156" s="51"/>
      <c r="D156" s="51"/>
      <c r="E156" s="51"/>
      <c r="F156" s="51"/>
      <c r="G156" s="51"/>
      <c r="H156" s="51"/>
      <c r="I156" s="51"/>
      <c r="J156" s="51"/>
      <c r="K156" s="51"/>
      <c r="L156" s="51"/>
      <c r="M156" s="51"/>
      <c r="N156" s="51"/>
      <c r="O156" s="51"/>
      <c r="P156" s="51"/>
      <c r="Q156" s="51"/>
      <c r="R156" s="51"/>
      <c r="S156" s="52"/>
    </row>
    <row r="157" spans="1:19" ht="12">
      <c r="A157" s="50"/>
      <c r="B157" s="51"/>
      <c r="C157" s="51"/>
      <c r="D157" s="51"/>
      <c r="E157" s="51"/>
      <c r="F157" s="51"/>
      <c r="G157" s="51"/>
      <c r="H157" s="51"/>
      <c r="I157" s="51"/>
      <c r="J157" s="51"/>
      <c r="K157" s="51"/>
      <c r="L157" s="51"/>
      <c r="M157" s="51"/>
      <c r="N157" s="51"/>
      <c r="O157" s="51"/>
      <c r="P157" s="51"/>
      <c r="Q157" s="51"/>
      <c r="R157" s="51"/>
      <c r="S157" s="52"/>
    </row>
    <row r="158" spans="1:19" ht="12">
      <c r="A158" s="438" t="s">
        <v>828</v>
      </c>
      <c r="B158" s="51"/>
      <c r="C158" s="51"/>
      <c r="D158" s="51"/>
      <c r="E158" s="51"/>
      <c r="F158" s="51"/>
      <c r="G158" s="51"/>
      <c r="H158" s="51"/>
      <c r="I158" s="51"/>
      <c r="J158" s="51"/>
      <c r="K158" s="51"/>
      <c r="L158" s="51"/>
      <c r="M158" s="51"/>
      <c r="N158" s="51"/>
      <c r="O158" s="51"/>
      <c r="P158" s="51"/>
      <c r="Q158" s="51"/>
      <c r="R158" s="51"/>
      <c r="S158" s="52"/>
    </row>
    <row r="159" spans="1:19" ht="12">
      <c r="A159" s="50" t="s">
        <v>829</v>
      </c>
      <c r="B159" s="51"/>
      <c r="C159" s="51"/>
      <c r="D159" s="51"/>
      <c r="E159" s="51"/>
      <c r="F159" s="51"/>
      <c r="G159" s="51"/>
      <c r="H159" s="51"/>
      <c r="I159" s="51"/>
      <c r="J159" s="51"/>
      <c r="K159" s="51"/>
      <c r="L159" s="51"/>
      <c r="M159" s="51"/>
      <c r="N159" s="51"/>
      <c r="O159" s="51"/>
      <c r="P159" s="51"/>
      <c r="Q159" s="51"/>
      <c r="R159" s="51"/>
      <c r="S159" s="52"/>
    </row>
    <row r="160" spans="1:19" ht="12">
      <c r="A160" s="50" t="s">
        <v>830</v>
      </c>
      <c r="B160" s="51"/>
      <c r="C160" s="51"/>
      <c r="D160" s="51"/>
      <c r="E160" s="51"/>
      <c r="F160" s="51"/>
      <c r="G160" s="51"/>
      <c r="H160" s="51"/>
      <c r="I160" s="51"/>
      <c r="J160" s="51"/>
      <c r="K160" s="51"/>
      <c r="L160" s="51"/>
      <c r="M160" s="51"/>
      <c r="N160" s="51"/>
      <c r="O160" s="51"/>
      <c r="P160" s="51"/>
      <c r="Q160" s="51"/>
      <c r="R160" s="51"/>
      <c r="S160" s="52"/>
    </row>
    <row r="161" spans="1:19" ht="12">
      <c r="A161" s="50" t="s">
        <v>831</v>
      </c>
      <c r="B161" s="51"/>
      <c r="C161" s="51"/>
      <c r="D161" s="51"/>
      <c r="E161" s="51"/>
      <c r="F161" s="51"/>
      <c r="G161" s="51"/>
      <c r="H161" s="51"/>
      <c r="I161" s="51"/>
      <c r="J161" s="51"/>
      <c r="K161" s="51"/>
      <c r="L161" s="51"/>
      <c r="M161" s="51"/>
      <c r="N161" s="51"/>
      <c r="O161" s="51"/>
      <c r="P161" s="51"/>
      <c r="Q161" s="51"/>
      <c r="R161" s="51"/>
      <c r="S161" s="52"/>
    </row>
    <row r="162" spans="1:19" ht="12">
      <c r="A162" s="50" t="s">
        <v>832</v>
      </c>
      <c r="B162" s="51"/>
      <c r="C162" s="51"/>
      <c r="D162" s="51"/>
      <c r="E162" s="51"/>
      <c r="F162" s="51"/>
      <c r="G162" s="51"/>
      <c r="H162" s="51"/>
      <c r="I162" s="51"/>
      <c r="J162" s="51"/>
      <c r="K162" s="51"/>
      <c r="L162" s="51"/>
      <c r="M162" s="51"/>
      <c r="N162" s="51"/>
      <c r="O162" s="51"/>
      <c r="P162" s="51"/>
      <c r="Q162" s="51"/>
      <c r="R162" s="51"/>
      <c r="S162" s="52"/>
    </row>
    <row r="163" spans="1:19" ht="12">
      <c r="A163" s="50" t="s">
        <v>833</v>
      </c>
      <c r="B163" s="51"/>
      <c r="C163" s="51"/>
      <c r="D163" s="51"/>
      <c r="E163" s="51"/>
      <c r="F163" s="51"/>
      <c r="G163" s="51"/>
      <c r="H163" s="51"/>
      <c r="I163" s="51"/>
      <c r="J163" s="51"/>
      <c r="K163" s="51"/>
      <c r="L163" s="51"/>
      <c r="M163" s="51"/>
      <c r="N163" s="51"/>
      <c r="O163" s="51"/>
      <c r="P163" s="51"/>
      <c r="Q163" s="51"/>
      <c r="R163" s="51"/>
      <c r="S163" s="52"/>
    </row>
    <row r="164" spans="1:19" ht="12">
      <c r="A164" s="50" t="s">
        <v>834</v>
      </c>
      <c r="B164" s="51"/>
      <c r="C164" s="51"/>
      <c r="D164" s="51"/>
      <c r="E164" s="51"/>
      <c r="F164" s="51"/>
      <c r="G164" s="51"/>
      <c r="H164" s="51"/>
      <c r="I164" s="51"/>
      <c r="J164" s="51"/>
      <c r="K164" s="51"/>
      <c r="L164" s="51"/>
      <c r="M164" s="51"/>
      <c r="N164" s="51"/>
      <c r="O164" s="51"/>
      <c r="P164" s="51"/>
      <c r="Q164" s="51"/>
      <c r="R164" s="51"/>
      <c r="S164" s="52"/>
    </row>
    <row r="165" spans="1:19" ht="12">
      <c r="A165" s="50" t="s">
        <v>0</v>
      </c>
      <c r="B165" s="51"/>
      <c r="C165" s="51"/>
      <c r="D165" s="51"/>
      <c r="E165" s="51"/>
      <c r="F165" s="51"/>
      <c r="G165" s="51"/>
      <c r="H165" s="51"/>
      <c r="I165" s="51"/>
      <c r="J165" s="51"/>
      <c r="K165" s="51"/>
      <c r="L165" s="51"/>
      <c r="M165" s="51"/>
      <c r="N165" s="51"/>
      <c r="O165" s="51"/>
      <c r="P165" s="51"/>
      <c r="Q165" s="51"/>
      <c r="R165" s="51"/>
      <c r="S165" s="52"/>
    </row>
    <row r="166" spans="1:19" ht="12.75" thickBot="1">
      <c r="A166" s="519"/>
      <c r="B166" s="520"/>
      <c r="C166" s="520"/>
      <c r="D166" s="520"/>
      <c r="E166" s="520"/>
      <c r="F166" s="520"/>
      <c r="G166" s="520"/>
      <c r="H166" s="520"/>
      <c r="I166" s="520"/>
      <c r="J166" s="520"/>
      <c r="K166" s="520"/>
      <c r="L166" s="520"/>
      <c r="M166" s="520"/>
      <c r="N166" s="520"/>
      <c r="O166" s="520"/>
      <c r="P166" s="520"/>
      <c r="Q166" s="520"/>
      <c r="R166" s="520"/>
      <c r="S166" s="521"/>
    </row>
  </sheetData>
  <mergeCells count="118">
    <mergeCell ref="C6:E6"/>
    <mergeCell ref="C7:E7"/>
    <mergeCell ref="A1:S1"/>
    <mergeCell ref="A2:S2"/>
    <mergeCell ref="C10:E10"/>
    <mergeCell ref="C11:E11"/>
    <mergeCell ref="C8:E8"/>
    <mergeCell ref="C9:E9"/>
    <mergeCell ref="C14:E14"/>
    <mergeCell ref="C16:E16"/>
    <mergeCell ref="C12:E12"/>
    <mergeCell ref="C13:E13"/>
    <mergeCell ref="C20:E20"/>
    <mergeCell ref="C21:E21"/>
    <mergeCell ref="C17:E17"/>
    <mergeCell ref="C18:E18"/>
    <mergeCell ref="C24:E24"/>
    <mergeCell ref="C25:E25"/>
    <mergeCell ref="C22:E22"/>
    <mergeCell ref="C23:E23"/>
    <mergeCell ref="C29:E29"/>
    <mergeCell ref="C30:E30"/>
    <mergeCell ref="C26:E26"/>
    <mergeCell ref="C27:E27"/>
    <mergeCell ref="C34:E34"/>
    <mergeCell ref="C35:E35"/>
    <mergeCell ref="C31:E31"/>
    <mergeCell ref="C32:E32"/>
    <mergeCell ref="C39:E39"/>
    <mergeCell ref="C40:E40"/>
    <mergeCell ref="C36:E36"/>
    <mergeCell ref="C37:E37"/>
    <mergeCell ref="C43:E43"/>
    <mergeCell ref="C44:E44"/>
    <mergeCell ref="C41:E41"/>
    <mergeCell ref="C42:E42"/>
    <mergeCell ref="C47:E47"/>
    <mergeCell ref="C48:E48"/>
    <mergeCell ref="C45:E45"/>
    <mergeCell ref="C46:E46"/>
    <mergeCell ref="C52:E52"/>
    <mergeCell ref="C53:E53"/>
    <mergeCell ref="C50:E50"/>
    <mergeCell ref="C51:E51"/>
    <mergeCell ref="C57:E57"/>
    <mergeCell ref="C59:E59"/>
    <mergeCell ref="C54:E54"/>
    <mergeCell ref="C56:E56"/>
    <mergeCell ref="C64:E64"/>
    <mergeCell ref="C65:E65"/>
    <mergeCell ref="C61:E61"/>
    <mergeCell ref="C63:E63"/>
    <mergeCell ref="C68:E68"/>
    <mergeCell ref="C69:E69"/>
    <mergeCell ref="C66:E66"/>
    <mergeCell ref="C67:E67"/>
    <mergeCell ref="C73:E73"/>
    <mergeCell ref="C74:E74"/>
    <mergeCell ref="C70:E70"/>
    <mergeCell ref="C71:E71"/>
    <mergeCell ref="C77:E77"/>
    <mergeCell ref="C79:E79"/>
    <mergeCell ref="C75:E75"/>
    <mergeCell ref="C76:E76"/>
    <mergeCell ref="C82:E82"/>
    <mergeCell ref="C83:E83"/>
    <mergeCell ref="C80:E80"/>
    <mergeCell ref="C81:E81"/>
    <mergeCell ref="C86:E86"/>
    <mergeCell ref="C88:E88"/>
    <mergeCell ref="C84:E84"/>
    <mergeCell ref="C85:E85"/>
    <mergeCell ref="C92:E92"/>
    <mergeCell ref="C93:E93"/>
    <mergeCell ref="C89:E89"/>
    <mergeCell ref="C91:E91"/>
    <mergeCell ref="C96:E96"/>
    <mergeCell ref="C97:E97"/>
    <mergeCell ref="C94:E94"/>
    <mergeCell ref="C95:E95"/>
    <mergeCell ref="C100:E100"/>
    <mergeCell ref="C101:E101"/>
    <mergeCell ref="C98:E98"/>
    <mergeCell ref="C99:E99"/>
    <mergeCell ref="C104:E104"/>
    <mergeCell ref="C105:E105"/>
    <mergeCell ref="C102:E102"/>
    <mergeCell ref="C103:E103"/>
    <mergeCell ref="C111:E111"/>
    <mergeCell ref="C112:E112"/>
    <mergeCell ref="C107:E107"/>
    <mergeCell ref="C109:E109"/>
    <mergeCell ref="C115:E115"/>
    <mergeCell ref="C116:E116"/>
    <mergeCell ref="C113:E113"/>
    <mergeCell ref="C114:E114"/>
    <mergeCell ref="C120:E120"/>
    <mergeCell ref="C122:E122"/>
    <mergeCell ref="C117:E117"/>
    <mergeCell ref="C118:E118"/>
    <mergeCell ref="C128:S128"/>
    <mergeCell ref="C130:E130"/>
    <mergeCell ref="C124:E124"/>
    <mergeCell ref="C126:E126"/>
    <mergeCell ref="C134:E134"/>
    <mergeCell ref="C135:E135"/>
    <mergeCell ref="C131:E131"/>
    <mergeCell ref="C133:E133"/>
    <mergeCell ref="A142:S142"/>
    <mergeCell ref="C139:E139"/>
    <mergeCell ref="A141:S141"/>
    <mergeCell ref="C136:E136"/>
    <mergeCell ref="C138:E138"/>
    <mergeCell ref="A166:S166"/>
    <mergeCell ref="A149:S149"/>
    <mergeCell ref="A150:S150"/>
    <mergeCell ref="A143:S143"/>
    <mergeCell ref="A144:S144"/>
  </mergeCells>
  <conditionalFormatting sqref="I29:I31 K29:K31 M29:M31 I34:I37 K35 G34:G37 M34:M37 O34:O37 Q34:Q37 S34:S37 K39:K40 S29:S32 Q56:Q57 K56:K57 I56:I57 G56:G57 M56:M57 O56:O57 S56:S57 S59 Q59 I59 G59 K59 O59 M59 O64:O71 S64:S71 O74:O77 Q74:Q77 S74:S77 O80:O86 Q80:Q86 S80:S86 S89 O89 Q89 K96:K98 I96:I98 G96:G98 M96:M98 S92:S105 O92:O105 Q92:Q105 S107 O107 Q107 S109 S112:S118 S120 O109 Q109 O112:O118 Q112:Q118 O120 S122 O122 Q122 Q120 O124 K124 I124 G124 M124 Q124 S124 S7:S14 G7:G14 K7:K14 M7:M14 O7:O14 Q8:Q14 G16:G18 I39:I48 G39:G48 M39:M48 O39:O48 Q39:Q48 S39:S48 K42:K48 Q50:Q53 I16:I18 K16:K18 M16:M18 S16:S18 Q16:Q18 O16:O18 S20:S27 Q20:Q27 M20:M27 K20:K27 I20:I27 G20:G27 O20:O27 O29:O32 G29:G32 Q29:Q32 S50:S54 O50:O54 M50:M54 G50:G54 I50:I54 K50:K54 I7:I14 Q64:Q71 K133:K136 K130 Q130:Q131 O133:O136 M131 O130:O131 S138:S139 Q133:Q136 S130:S131 M133:M136 S133:S136 K138:K139 O138:O139 Q138:Q139 M138:M139">
    <cfRule type="expression" priority="1" dxfId="0" stopIfTrue="1">
      <formula>AND(LEFT(AH7,1)="E",G7="")</formula>
    </cfRule>
    <cfRule type="expression" priority="2" dxfId="1" stopIfTrue="1">
      <formula>LEFT(AH7,1)="E"</formula>
    </cfRule>
    <cfRule type="expression" priority="3" dxfId="2" stopIfTrue="1">
      <formula>LEFT(AH7,1)="W"</formula>
    </cfRule>
  </conditionalFormatting>
  <printOptions/>
  <pageMargins left="0.43" right="0.24" top="0.43" bottom="0.36" header="0.24" footer="0.2"/>
  <pageSetup horizontalDpi="600" verticalDpi="600" orientation="landscape" paperSize="9" scale="97" r:id="rId1"/>
  <rowBreaks count="4" manualBreakCount="4">
    <brk id="48" max="255" man="1"/>
    <brk id="86" max="255" man="1"/>
    <brk id="125" max="255" man="1"/>
    <brk id="140" max="255" man="1"/>
  </rowBreaks>
</worksheet>
</file>

<file path=xl/worksheets/sheet3.xml><?xml version="1.0" encoding="utf-8"?>
<worksheet xmlns="http://schemas.openxmlformats.org/spreadsheetml/2006/main" xmlns:r="http://schemas.openxmlformats.org/officeDocument/2006/relationships">
  <dimension ref="A1:J115"/>
  <sheetViews>
    <sheetView workbookViewId="0" topLeftCell="A1">
      <selection activeCell="A1" sqref="A1:J1"/>
    </sheetView>
  </sheetViews>
  <sheetFormatPr defaultColWidth="9.140625" defaultRowHeight="12"/>
  <cols>
    <col min="1" max="1" width="5.00390625" style="1" bestFit="1" customWidth="1"/>
    <col min="2" max="2" width="13.7109375" style="1" customWidth="1"/>
    <col min="3" max="3" width="9.140625" style="1" customWidth="1"/>
    <col min="4" max="4" width="5.57421875" style="1" customWidth="1"/>
    <col min="5" max="5" width="11.28125" style="1" customWidth="1"/>
    <col min="6" max="6" width="9.140625" style="1" customWidth="1"/>
    <col min="7" max="7" width="1.57421875" style="1" customWidth="1"/>
    <col min="8" max="8" width="17.421875" style="1" customWidth="1"/>
    <col min="9" max="9" width="1.7109375" style="1" customWidth="1"/>
    <col min="10" max="10" width="43.8515625" style="1" customWidth="1"/>
    <col min="11" max="16384" width="9.140625" style="1" customWidth="1"/>
  </cols>
  <sheetData>
    <row r="1" spans="1:10" ht="13.5" thickBot="1">
      <c r="A1" s="493" t="str">
        <f>+SBST!A1</f>
        <v>SOLIHULL SECTION 52 EDUCATION BUDGET STATEMENT 2006-07 Version 3 Published 3 August 2006</v>
      </c>
      <c r="B1" s="489"/>
      <c r="C1" s="489"/>
      <c r="D1" s="489"/>
      <c r="E1" s="489"/>
      <c r="F1" s="489"/>
      <c r="G1" s="489"/>
      <c r="H1" s="489"/>
      <c r="I1" s="489"/>
      <c r="J1" s="490"/>
    </row>
    <row r="2" spans="1:10" ht="12.75" customHeight="1" thickBot="1">
      <c r="A2" s="493" t="s">
        <v>266</v>
      </c>
      <c r="B2" s="489"/>
      <c r="C2" s="489"/>
      <c r="D2" s="489"/>
      <c r="E2" s="489"/>
      <c r="F2" s="489"/>
      <c r="G2" s="489"/>
      <c r="H2" s="489"/>
      <c r="I2" s="489"/>
      <c r="J2" s="490"/>
    </row>
    <row r="3" spans="1:10" ht="12">
      <c r="A3" s="54"/>
      <c r="B3" s="418" t="s">
        <v>14</v>
      </c>
      <c r="C3" s="54"/>
      <c r="D3" s="54"/>
      <c r="E3" s="54"/>
      <c r="F3" s="54"/>
      <c r="G3" s="54"/>
      <c r="H3" s="54"/>
      <c r="I3" s="54"/>
      <c r="J3" s="54"/>
    </row>
    <row r="4" spans="1:10" ht="12">
      <c r="A4" s="54"/>
      <c r="B4" s="540" t="s">
        <v>268</v>
      </c>
      <c r="C4" s="541"/>
      <c r="D4" s="541"/>
      <c r="E4" s="541"/>
      <c r="F4" s="495" t="s">
        <v>269</v>
      </c>
      <c r="G4" s="495"/>
      <c r="H4" s="54"/>
      <c r="I4" s="54"/>
      <c r="J4" s="54"/>
    </row>
    <row r="5" spans="1:10" ht="12">
      <c r="A5" s="54"/>
      <c r="B5" s="542"/>
      <c r="C5" s="543"/>
      <c r="D5" s="543"/>
      <c r="E5" s="543"/>
      <c r="F5" s="496" t="s">
        <v>271</v>
      </c>
      <c r="G5" s="496"/>
      <c r="H5" s="54"/>
      <c r="I5" s="54"/>
      <c r="J5" s="54"/>
    </row>
    <row r="6" spans="1:10" ht="12">
      <c r="A6" s="54"/>
      <c r="B6" s="61"/>
      <c r="C6" s="62"/>
      <c r="D6" s="62"/>
      <c r="E6" s="62"/>
      <c r="F6" s="66"/>
      <c r="G6" s="66"/>
      <c r="H6" s="54"/>
      <c r="I6" s="54"/>
      <c r="J6" s="54"/>
    </row>
    <row r="7" spans="1:10" ht="12">
      <c r="A7" s="54"/>
      <c r="B7" s="536" t="s">
        <v>275</v>
      </c>
      <c r="C7" s="537"/>
      <c r="D7" s="537"/>
      <c r="E7" s="537"/>
      <c r="F7" s="494" t="s">
        <v>276</v>
      </c>
      <c r="G7" s="494"/>
      <c r="H7" s="54"/>
      <c r="I7" s="54"/>
      <c r="J7" s="54"/>
    </row>
    <row r="8" spans="1:10" ht="12">
      <c r="A8" s="54"/>
      <c r="B8" s="538"/>
      <c r="C8" s="539"/>
      <c r="D8" s="539"/>
      <c r="E8" s="539"/>
      <c r="F8" s="495" t="s">
        <v>277</v>
      </c>
      <c r="G8" s="495"/>
      <c r="H8" s="54"/>
      <c r="I8" s="54"/>
      <c r="J8" s="54"/>
    </row>
    <row r="9" spans="1:10" ht="12">
      <c r="A9" s="54"/>
      <c r="B9" s="54"/>
      <c r="C9" s="54"/>
      <c r="D9" s="54"/>
      <c r="E9" s="54"/>
      <c r="F9" s="54"/>
      <c r="G9" s="54"/>
      <c r="H9" s="54"/>
      <c r="I9" s="54"/>
      <c r="J9" s="54"/>
    </row>
    <row r="10" spans="1:10" ht="12">
      <c r="A10" s="491" t="s">
        <v>281</v>
      </c>
      <c r="B10" s="491"/>
      <c r="C10" s="491"/>
      <c r="D10" s="491"/>
      <c r="E10" s="491"/>
      <c r="F10" s="491"/>
      <c r="G10" s="491"/>
      <c r="H10" s="70" t="s">
        <v>408</v>
      </c>
      <c r="I10" s="54"/>
      <c r="J10" s="70" t="s">
        <v>282</v>
      </c>
    </row>
    <row r="11" spans="1:10" ht="12">
      <c r="A11" s="54"/>
      <c r="B11" s="505" t="s">
        <v>283</v>
      </c>
      <c r="C11" s="505"/>
      <c r="D11" s="505"/>
      <c r="E11" s="505"/>
      <c r="F11" s="505"/>
      <c r="G11" s="497"/>
      <c r="H11" s="74">
        <v>12308506</v>
      </c>
      <c r="I11" s="54"/>
      <c r="J11" s="75" t="s">
        <v>284</v>
      </c>
    </row>
    <row r="12" spans="1:10" ht="12">
      <c r="A12" s="54"/>
      <c r="B12" s="54"/>
      <c r="C12" s="54"/>
      <c r="D12" s="54"/>
      <c r="E12" s="54"/>
      <c r="F12" s="54"/>
      <c r="G12" s="54"/>
      <c r="H12" s="54"/>
      <c r="I12" s="54"/>
      <c r="J12" s="54"/>
    </row>
    <row r="13" spans="1:10" ht="12.75">
      <c r="A13" s="77" t="s">
        <v>287</v>
      </c>
      <c r="B13" s="504" t="s">
        <v>288</v>
      </c>
      <c r="C13" s="505"/>
      <c r="D13" s="505"/>
      <c r="E13" s="505"/>
      <c r="F13" s="505"/>
      <c r="G13" s="497"/>
      <c r="H13" s="74">
        <v>0</v>
      </c>
      <c r="I13" s="54"/>
      <c r="J13" s="75" t="s">
        <v>289</v>
      </c>
    </row>
    <row r="14" spans="1:10" ht="12">
      <c r="A14" s="54"/>
      <c r="B14" s="504" t="s">
        <v>291</v>
      </c>
      <c r="C14" s="505"/>
      <c r="D14" s="505"/>
      <c r="E14" s="505"/>
      <c r="F14" s="505"/>
      <c r="G14" s="497"/>
      <c r="H14" s="74">
        <v>329079</v>
      </c>
      <c r="I14" s="54"/>
      <c r="J14" s="75" t="s">
        <v>292</v>
      </c>
    </row>
    <row r="15" spans="1:10" ht="12">
      <c r="A15" s="54"/>
      <c r="B15" s="504" t="s">
        <v>295</v>
      </c>
      <c r="C15" s="505"/>
      <c r="D15" s="505"/>
      <c r="E15" s="505"/>
      <c r="F15" s="505"/>
      <c r="G15" s="497"/>
      <c r="H15" s="74">
        <v>0</v>
      </c>
      <c r="I15" s="54"/>
      <c r="J15" s="75" t="s">
        <v>296</v>
      </c>
    </row>
    <row r="16" spans="1:10" ht="12">
      <c r="A16" s="54"/>
      <c r="B16" s="504" t="s">
        <v>297</v>
      </c>
      <c r="C16" s="505"/>
      <c r="D16" s="505"/>
      <c r="E16" s="505"/>
      <c r="F16" s="505"/>
      <c r="G16" s="497"/>
      <c r="H16" s="74">
        <v>10510</v>
      </c>
      <c r="I16" s="54"/>
      <c r="J16" s="75" t="s">
        <v>298</v>
      </c>
    </row>
    <row r="17" spans="1:10" ht="12">
      <c r="A17" s="54"/>
      <c r="B17" s="504" t="s">
        <v>301</v>
      </c>
      <c r="C17" s="505"/>
      <c r="D17" s="505"/>
      <c r="E17" s="505"/>
      <c r="F17" s="505"/>
      <c r="G17" s="497"/>
      <c r="H17" s="74">
        <v>120369</v>
      </c>
      <c r="I17" s="54"/>
      <c r="J17" s="75" t="s">
        <v>302</v>
      </c>
    </row>
    <row r="18" spans="1:10" ht="12">
      <c r="A18" s="54"/>
      <c r="B18" s="504" t="s">
        <v>303</v>
      </c>
      <c r="C18" s="505"/>
      <c r="D18" s="505"/>
      <c r="E18" s="505"/>
      <c r="F18" s="505"/>
      <c r="G18" s="497"/>
      <c r="H18" s="74">
        <v>367520</v>
      </c>
      <c r="I18" s="54"/>
      <c r="J18" s="75" t="s">
        <v>304</v>
      </c>
    </row>
    <row r="19" spans="1:10" ht="12">
      <c r="A19" s="54"/>
      <c r="B19" s="504" t="s">
        <v>307</v>
      </c>
      <c r="C19" s="505"/>
      <c r="D19" s="505"/>
      <c r="E19" s="505"/>
      <c r="F19" s="505"/>
      <c r="G19" s="497"/>
      <c r="H19" s="74">
        <f>614122+252259</f>
        <v>866381</v>
      </c>
      <c r="I19" s="54"/>
      <c r="J19" s="75" t="s">
        <v>308</v>
      </c>
    </row>
    <row r="20" spans="1:10" ht="12">
      <c r="A20" s="54"/>
      <c r="B20" s="504" t="s">
        <v>309</v>
      </c>
      <c r="C20" s="505"/>
      <c r="D20" s="505"/>
      <c r="E20" s="505"/>
      <c r="F20" s="505"/>
      <c r="G20" s="497"/>
      <c r="H20" s="74">
        <v>115400</v>
      </c>
      <c r="I20" s="54"/>
      <c r="J20" s="75" t="s">
        <v>310</v>
      </c>
    </row>
    <row r="21" spans="1:10" ht="12">
      <c r="A21" s="54"/>
      <c r="B21" s="78"/>
      <c r="C21" s="73"/>
      <c r="D21" s="73"/>
      <c r="E21" s="73"/>
      <c r="F21" s="73"/>
      <c r="G21" s="85"/>
      <c r="H21" s="86"/>
      <c r="I21" s="54"/>
      <c r="J21" s="54"/>
    </row>
    <row r="22" spans="1:10" ht="12">
      <c r="A22" s="54"/>
      <c r="B22" s="504" t="s">
        <v>313</v>
      </c>
      <c r="C22" s="505"/>
      <c r="D22" s="505"/>
      <c r="E22" s="505"/>
      <c r="F22" s="505"/>
      <c r="G22" s="497"/>
      <c r="H22" s="87">
        <f>IF(ISERROR(H11-SUM(H13:H20)),0,H11-SUM(H13:H20))</f>
        <v>10499247</v>
      </c>
      <c r="I22" s="54"/>
      <c r="J22" s="54"/>
    </row>
    <row r="23" spans="1:10" ht="12">
      <c r="A23" s="54"/>
      <c r="B23" s="73"/>
      <c r="C23" s="89"/>
      <c r="D23" s="89"/>
      <c r="E23" s="89"/>
      <c r="F23" s="89"/>
      <c r="G23" s="89"/>
      <c r="H23" s="54"/>
      <c r="I23" s="54"/>
      <c r="J23" s="54"/>
    </row>
    <row r="24" spans="1:10" ht="12.75" customHeight="1">
      <c r="A24" s="54"/>
      <c r="B24" s="504" t="s">
        <v>316</v>
      </c>
      <c r="C24" s="505"/>
      <c r="D24" s="505"/>
      <c r="E24" s="505"/>
      <c r="F24" s="505"/>
      <c r="G24" s="497"/>
      <c r="H24" s="74">
        <f>+H22</f>
        <v>10499247</v>
      </c>
      <c r="I24" s="54"/>
      <c r="J24" s="54"/>
    </row>
    <row r="25" spans="1:10" ht="12">
      <c r="A25" s="54"/>
      <c r="B25" s="93"/>
      <c r="C25" s="54"/>
      <c r="D25" s="54"/>
      <c r="E25" s="54"/>
      <c r="F25" s="54"/>
      <c r="G25" s="54"/>
      <c r="H25" s="54"/>
      <c r="I25" s="54"/>
      <c r="J25" s="54"/>
    </row>
    <row r="26" spans="1:10" ht="27" customHeight="1">
      <c r="A26" s="54"/>
      <c r="B26" s="504" t="s">
        <v>319</v>
      </c>
      <c r="C26" s="505"/>
      <c r="D26" s="505"/>
      <c r="E26" s="505"/>
      <c r="F26" s="505"/>
      <c r="G26" s="497"/>
      <c r="H26" s="87">
        <f>IF(ISERROR(MIN(H22,H24)),0,MIN(H22,H24))</f>
        <v>10499247</v>
      </c>
      <c r="I26" s="54"/>
      <c r="J26" s="54"/>
    </row>
    <row r="27" spans="1:10" ht="12">
      <c r="A27" s="54"/>
      <c r="B27" s="89"/>
      <c r="C27" s="89"/>
      <c r="D27" s="89"/>
      <c r="E27" s="89"/>
      <c r="F27" s="89"/>
      <c r="G27" s="89"/>
      <c r="H27" s="54"/>
      <c r="I27" s="54"/>
      <c r="J27" s="54"/>
    </row>
    <row r="28" spans="1:10" ht="12">
      <c r="A28" s="491" t="s">
        <v>320</v>
      </c>
      <c r="B28" s="491"/>
      <c r="C28" s="491"/>
      <c r="D28" s="491"/>
      <c r="E28" s="491"/>
      <c r="F28" s="491"/>
      <c r="G28" s="491"/>
      <c r="H28" s="54"/>
      <c r="I28" s="54"/>
      <c r="J28" s="54"/>
    </row>
    <row r="29" spans="1:10" ht="12">
      <c r="A29" s="54"/>
      <c r="B29" s="504" t="s">
        <v>321</v>
      </c>
      <c r="C29" s="504"/>
      <c r="D29" s="504"/>
      <c r="E29" s="504"/>
      <c r="F29" s="504"/>
      <c r="G29" s="462"/>
      <c r="H29" s="74">
        <v>105234651</v>
      </c>
      <c r="I29" s="54"/>
      <c r="J29" s="75" t="s">
        <v>322</v>
      </c>
    </row>
    <row r="30" spans="1:10" ht="12">
      <c r="A30" s="54"/>
      <c r="B30" s="73"/>
      <c r="C30" s="89"/>
      <c r="D30" s="89"/>
      <c r="E30" s="89"/>
      <c r="F30" s="89"/>
      <c r="G30" s="89"/>
      <c r="H30" s="54"/>
      <c r="I30" s="54"/>
      <c r="J30" s="54"/>
    </row>
    <row r="31" spans="1:10" ht="12.75">
      <c r="A31" s="77" t="s">
        <v>287</v>
      </c>
      <c r="B31" s="504" t="s">
        <v>323</v>
      </c>
      <c r="C31" s="504"/>
      <c r="D31" s="504"/>
      <c r="E31" s="504"/>
      <c r="F31" s="504"/>
      <c r="G31" s="462"/>
      <c r="H31" s="74">
        <v>3345058</v>
      </c>
      <c r="I31" s="54"/>
      <c r="J31" s="75" t="s">
        <v>324</v>
      </c>
    </row>
    <row r="32" spans="1:10" ht="12">
      <c r="A32" s="54"/>
      <c r="B32" s="504" t="s">
        <v>325</v>
      </c>
      <c r="C32" s="504"/>
      <c r="D32" s="504"/>
      <c r="E32" s="504"/>
      <c r="F32" s="504"/>
      <c r="G32" s="462"/>
      <c r="H32" s="74">
        <v>0</v>
      </c>
      <c r="I32" s="54"/>
      <c r="J32" s="75" t="s">
        <v>326</v>
      </c>
    </row>
    <row r="33" spans="1:10" ht="12">
      <c r="A33" s="54"/>
      <c r="B33" s="73"/>
      <c r="C33" s="89"/>
      <c r="D33" s="89"/>
      <c r="E33" s="89"/>
      <c r="F33" s="89"/>
      <c r="G33" s="89"/>
      <c r="H33" s="54"/>
      <c r="I33" s="54"/>
      <c r="J33" s="54"/>
    </row>
    <row r="34" spans="1:10" ht="12">
      <c r="A34" s="54"/>
      <c r="B34" s="504" t="s">
        <v>327</v>
      </c>
      <c r="C34" s="504"/>
      <c r="D34" s="504"/>
      <c r="E34" s="504"/>
      <c r="F34" s="504"/>
      <c r="G34" s="462"/>
      <c r="H34" s="87">
        <f>IF(ISERROR(H29-SUM(H31:H32)),0,H29-SUM(H31:H32))</f>
        <v>101889593</v>
      </c>
      <c r="I34" s="54"/>
      <c r="J34" s="54"/>
    </row>
    <row r="35" spans="1:10" ht="12">
      <c r="A35" s="54"/>
      <c r="B35" s="89"/>
      <c r="C35" s="89"/>
      <c r="D35" s="89"/>
      <c r="E35" s="89"/>
      <c r="F35" s="89"/>
      <c r="G35" s="89"/>
      <c r="H35" s="54"/>
      <c r="I35" s="54"/>
      <c r="J35" s="54"/>
    </row>
    <row r="36" spans="1:10" ht="12">
      <c r="A36" s="491" t="s">
        <v>328</v>
      </c>
      <c r="B36" s="491"/>
      <c r="C36" s="491"/>
      <c r="D36" s="491"/>
      <c r="E36" s="491"/>
      <c r="F36" s="491"/>
      <c r="G36" s="491"/>
      <c r="H36" s="54"/>
      <c r="I36" s="54"/>
      <c r="J36" s="54"/>
    </row>
    <row r="37" spans="1:10" ht="12">
      <c r="A37" s="54"/>
      <c r="B37" s="504" t="s">
        <v>329</v>
      </c>
      <c r="C37" s="504"/>
      <c r="D37" s="504"/>
      <c r="E37" s="504"/>
      <c r="F37" s="504"/>
      <c r="G37" s="462"/>
      <c r="H37" s="74">
        <v>98761308</v>
      </c>
      <c r="I37" s="54"/>
      <c r="J37" s="75" t="s">
        <v>330</v>
      </c>
    </row>
    <row r="38" spans="1:10" ht="12">
      <c r="A38" s="54"/>
      <c r="B38" s="73"/>
      <c r="C38" s="89"/>
      <c r="D38" s="89"/>
      <c r="E38" s="89"/>
      <c r="F38" s="89"/>
      <c r="G38" s="89"/>
      <c r="H38" s="54"/>
      <c r="I38" s="54"/>
      <c r="J38" s="54"/>
    </row>
    <row r="39" spans="1:10" ht="12.75" customHeight="1">
      <c r="A39" s="94" t="s">
        <v>331</v>
      </c>
      <c r="B39" s="460" t="s">
        <v>332</v>
      </c>
      <c r="C39" s="460"/>
      <c r="D39" s="460"/>
      <c r="E39" s="460"/>
      <c r="F39" s="460"/>
      <c r="G39" s="461"/>
      <c r="H39" s="74">
        <v>3937460</v>
      </c>
      <c r="I39" s="54"/>
      <c r="J39" s="75" t="s">
        <v>326</v>
      </c>
    </row>
    <row r="40" spans="1:10" ht="12">
      <c r="A40" s="54"/>
      <c r="B40" s="73"/>
      <c r="C40" s="89"/>
      <c r="D40" s="89"/>
      <c r="E40" s="89"/>
      <c r="F40" s="89"/>
      <c r="G40" s="89"/>
      <c r="H40" s="54"/>
      <c r="I40" s="54"/>
      <c r="J40" s="54"/>
    </row>
    <row r="41" spans="1:10" ht="12.75">
      <c r="A41" s="77" t="s">
        <v>287</v>
      </c>
      <c r="B41" s="504" t="s">
        <v>333</v>
      </c>
      <c r="C41" s="504"/>
      <c r="D41" s="504"/>
      <c r="E41" s="504"/>
      <c r="F41" s="504"/>
      <c r="G41" s="462"/>
      <c r="H41" s="74">
        <v>949810</v>
      </c>
      <c r="I41" s="54"/>
      <c r="J41" s="75" t="s">
        <v>334</v>
      </c>
    </row>
    <row r="42" spans="1:10" ht="12">
      <c r="A42" s="54"/>
      <c r="B42" s="504" t="s">
        <v>323</v>
      </c>
      <c r="C42" s="505"/>
      <c r="D42" s="505"/>
      <c r="E42" s="505"/>
      <c r="F42" s="505"/>
      <c r="G42" s="497"/>
      <c r="H42" s="74">
        <v>3286957</v>
      </c>
      <c r="I42" s="54"/>
      <c r="J42" s="75" t="s">
        <v>335</v>
      </c>
    </row>
    <row r="43" spans="1:10" ht="12">
      <c r="A43" s="54"/>
      <c r="B43" s="504" t="s">
        <v>336</v>
      </c>
      <c r="C43" s="505"/>
      <c r="D43" s="505"/>
      <c r="E43" s="505"/>
      <c r="F43" s="505"/>
      <c r="G43" s="497"/>
      <c r="H43" s="74">
        <v>0</v>
      </c>
      <c r="I43" s="54"/>
      <c r="J43" s="75" t="s">
        <v>337</v>
      </c>
    </row>
    <row r="44" spans="1:10" ht="12">
      <c r="A44" s="54"/>
      <c r="B44" s="73"/>
      <c r="C44" s="89"/>
      <c r="D44" s="89"/>
      <c r="E44" s="89"/>
      <c r="F44" s="89"/>
      <c r="G44" s="89"/>
      <c r="H44" s="54"/>
      <c r="I44" s="54"/>
      <c r="J44" s="54"/>
    </row>
    <row r="45" spans="1:10" ht="12">
      <c r="A45" s="54"/>
      <c r="B45" s="504" t="s">
        <v>286</v>
      </c>
      <c r="C45" s="505"/>
      <c r="D45" s="505"/>
      <c r="E45" s="505"/>
      <c r="F45" s="505"/>
      <c r="G45" s="497"/>
      <c r="H45" s="87">
        <f>IF(ISERROR(SUM(H37,H39)-SUM(H41:H43)),0,SUM(H37,H39)-SUM(H41:H43))</f>
        <v>98462001</v>
      </c>
      <c r="I45" s="54"/>
      <c r="J45" s="54"/>
    </row>
    <row r="46" spans="1:10" ht="12">
      <c r="A46" s="54"/>
      <c r="B46" s="54"/>
      <c r="C46" s="54"/>
      <c r="D46" s="54"/>
      <c r="E46" s="54"/>
      <c r="F46" s="54"/>
      <c r="G46" s="54"/>
      <c r="H46" s="54"/>
      <c r="I46" s="54"/>
      <c r="J46" s="54"/>
    </row>
    <row r="47" spans="1:10" ht="12">
      <c r="A47" s="491" t="s">
        <v>290</v>
      </c>
      <c r="B47" s="491"/>
      <c r="C47" s="491"/>
      <c r="D47" s="491"/>
      <c r="E47" s="491"/>
      <c r="F47" s="491"/>
      <c r="G47" s="491"/>
      <c r="H47" s="54"/>
      <c r="I47" s="54"/>
      <c r="J47" s="54"/>
    </row>
    <row r="48" spans="1:10" ht="12">
      <c r="A48" s="54"/>
      <c r="B48" s="504" t="s">
        <v>338</v>
      </c>
      <c r="C48" s="505"/>
      <c r="D48" s="505"/>
      <c r="E48" s="505"/>
      <c r="F48" s="505"/>
      <c r="G48" s="497"/>
      <c r="H48" s="87">
        <f>IF(ISERROR(H26*(H34/H45)),0,H26*(H34/H45))</f>
        <v>10864739.623120913</v>
      </c>
      <c r="I48" s="54"/>
      <c r="J48" s="54"/>
    </row>
    <row r="49" spans="1:10" ht="12">
      <c r="A49" s="54"/>
      <c r="B49" s="504" t="s">
        <v>339</v>
      </c>
      <c r="C49" s="505"/>
      <c r="D49" s="505"/>
      <c r="E49" s="505"/>
      <c r="F49" s="505"/>
      <c r="G49" s="497"/>
      <c r="H49" s="74">
        <f>+H48</f>
        <v>10864739.623120913</v>
      </c>
      <c r="I49" s="54"/>
      <c r="J49" s="54"/>
    </row>
    <row r="50" spans="1:10" ht="12">
      <c r="A50" s="54"/>
      <c r="B50" s="73"/>
      <c r="C50" s="89"/>
      <c r="D50" s="89"/>
      <c r="E50" s="89"/>
      <c r="F50" s="89"/>
      <c r="G50" s="89"/>
      <c r="H50" s="54"/>
      <c r="I50" s="54"/>
      <c r="J50" s="54"/>
    </row>
    <row r="51" spans="1:10" ht="12">
      <c r="A51" s="54"/>
      <c r="B51" s="504" t="s">
        <v>340</v>
      </c>
      <c r="C51" s="505"/>
      <c r="D51" s="505"/>
      <c r="E51" s="505"/>
      <c r="F51" s="505"/>
      <c r="G51" s="497"/>
      <c r="H51" s="87">
        <f>IF(ISERROR(MAX(H48,H49)),0,MAX(H48,H49))</f>
        <v>10864739.623120913</v>
      </c>
      <c r="I51" s="54"/>
      <c r="J51" s="54"/>
    </row>
    <row r="52" spans="1:10" ht="12">
      <c r="A52" s="54"/>
      <c r="B52" s="89"/>
      <c r="C52" s="89"/>
      <c r="D52" s="89"/>
      <c r="E52" s="89"/>
      <c r="F52" s="89"/>
      <c r="G52" s="89"/>
      <c r="H52" s="54"/>
      <c r="I52" s="54"/>
      <c r="J52" s="54"/>
    </row>
    <row r="53" spans="1:10" ht="12">
      <c r="A53" s="491" t="s">
        <v>341</v>
      </c>
      <c r="B53" s="491"/>
      <c r="C53" s="491"/>
      <c r="D53" s="491"/>
      <c r="E53" s="491"/>
      <c r="F53" s="491"/>
      <c r="G53" s="491"/>
      <c r="H53" s="54"/>
      <c r="I53" s="54"/>
      <c r="J53" s="54"/>
    </row>
    <row r="54" spans="1:10" ht="12">
      <c r="A54" s="54"/>
      <c r="B54" s="504" t="s">
        <v>342</v>
      </c>
      <c r="C54" s="505"/>
      <c r="D54" s="505"/>
      <c r="E54" s="505"/>
      <c r="F54" s="505"/>
      <c r="G54" s="497"/>
      <c r="H54" s="74">
        <v>11024436</v>
      </c>
      <c r="I54" s="54"/>
      <c r="J54" s="75" t="s">
        <v>343</v>
      </c>
    </row>
    <row r="55" spans="1:10" ht="12">
      <c r="A55" s="54"/>
      <c r="B55" s="78"/>
      <c r="C55" s="89"/>
      <c r="D55" s="89"/>
      <c r="E55" s="89"/>
      <c r="F55" s="89"/>
      <c r="G55" s="89"/>
      <c r="H55" s="54"/>
      <c r="I55" s="54"/>
      <c r="J55" s="54"/>
    </row>
    <row r="56" spans="1:10" ht="12.75">
      <c r="A56" s="77" t="s">
        <v>331</v>
      </c>
      <c r="B56" s="504" t="s">
        <v>344</v>
      </c>
      <c r="C56" s="505"/>
      <c r="D56" s="505"/>
      <c r="E56" s="505"/>
      <c r="F56" s="505"/>
      <c r="G56" s="497"/>
      <c r="H56" s="74">
        <v>0</v>
      </c>
      <c r="I56" s="54"/>
      <c r="J56" s="75" t="s">
        <v>345</v>
      </c>
    </row>
    <row r="57" spans="1:10" ht="12">
      <c r="A57" s="54"/>
      <c r="B57" s="504" t="s">
        <v>346</v>
      </c>
      <c r="C57" s="505"/>
      <c r="D57" s="505"/>
      <c r="E57" s="505"/>
      <c r="F57" s="505"/>
      <c r="G57" s="497"/>
      <c r="H57" s="74">
        <v>189000</v>
      </c>
      <c r="I57" s="54"/>
      <c r="J57" s="75" t="s">
        <v>347</v>
      </c>
    </row>
    <row r="58" spans="1:10" ht="12">
      <c r="A58" s="54"/>
      <c r="B58" s="78"/>
      <c r="C58" s="89"/>
      <c r="D58" s="89"/>
      <c r="E58" s="89"/>
      <c r="F58" s="89"/>
      <c r="G58" s="89"/>
      <c r="H58" s="54"/>
      <c r="I58" s="54"/>
      <c r="J58" s="54"/>
    </row>
    <row r="59" spans="1:10" ht="12.75">
      <c r="A59" s="77" t="s">
        <v>287</v>
      </c>
      <c r="B59" s="504" t="s">
        <v>156</v>
      </c>
      <c r="C59" s="505"/>
      <c r="D59" s="505"/>
      <c r="E59" s="505"/>
      <c r="F59" s="505"/>
      <c r="G59" s="497"/>
      <c r="H59" s="74">
        <v>0</v>
      </c>
      <c r="I59" s="54"/>
      <c r="J59" s="75" t="s">
        <v>348</v>
      </c>
    </row>
    <row r="60" spans="1:10" ht="12">
      <c r="A60" s="54"/>
      <c r="B60" s="504" t="s">
        <v>349</v>
      </c>
      <c r="C60" s="505"/>
      <c r="D60" s="505"/>
      <c r="E60" s="505"/>
      <c r="F60" s="505"/>
      <c r="G60" s="497"/>
      <c r="H60" s="74">
        <v>0</v>
      </c>
      <c r="I60" s="54"/>
      <c r="J60" s="75" t="s">
        <v>350</v>
      </c>
    </row>
    <row r="61" spans="1:10" ht="12">
      <c r="A61" s="54"/>
      <c r="B61" s="504" t="s">
        <v>295</v>
      </c>
      <c r="C61" s="505"/>
      <c r="D61" s="505"/>
      <c r="E61" s="505"/>
      <c r="F61" s="505"/>
      <c r="G61" s="497"/>
      <c r="H61" s="74">
        <v>0</v>
      </c>
      <c r="I61" s="54"/>
      <c r="J61" s="75" t="s">
        <v>351</v>
      </c>
    </row>
    <row r="62" spans="1:10" ht="12">
      <c r="A62" s="54"/>
      <c r="B62" s="504" t="s">
        <v>352</v>
      </c>
      <c r="C62" s="505"/>
      <c r="D62" s="505"/>
      <c r="E62" s="505"/>
      <c r="F62" s="505"/>
      <c r="G62" s="497"/>
      <c r="H62" s="74">
        <v>0</v>
      </c>
      <c r="I62" s="54"/>
      <c r="J62" s="75" t="s">
        <v>353</v>
      </c>
    </row>
    <row r="63" spans="1:10" ht="12">
      <c r="A63" s="54"/>
      <c r="B63" s="504" t="s">
        <v>130</v>
      </c>
      <c r="C63" s="505"/>
      <c r="D63" s="505"/>
      <c r="E63" s="505"/>
      <c r="F63" s="505"/>
      <c r="G63" s="497"/>
      <c r="H63" s="74">
        <v>0</v>
      </c>
      <c r="I63" s="54"/>
      <c r="J63" s="75" t="s">
        <v>354</v>
      </c>
    </row>
    <row r="64" spans="1:10" ht="12">
      <c r="A64" s="54"/>
      <c r="B64" s="504" t="s">
        <v>355</v>
      </c>
      <c r="C64" s="505"/>
      <c r="D64" s="505"/>
      <c r="E64" s="505"/>
      <c r="F64" s="505"/>
      <c r="G64" s="497"/>
      <c r="H64" s="74">
        <v>175180</v>
      </c>
      <c r="I64" s="54"/>
      <c r="J64" s="75" t="s">
        <v>308</v>
      </c>
    </row>
    <row r="65" spans="1:10" ht="12">
      <c r="A65" s="54"/>
      <c r="B65" s="504" t="s">
        <v>309</v>
      </c>
      <c r="C65" s="505"/>
      <c r="D65" s="505"/>
      <c r="E65" s="505"/>
      <c r="F65" s="505"/>
      <c r="G65" s="497"/>
      <c r="H65" s="74">
        <v>122225</v>
      </c>
      <c r="I65" s="54"/>
      <c r="J65" s="75" t="s">
        <v>356</v>
      </c>
    </row>
    <row r="66" spans="1:10" ht="12.75" customHeight="1">
      <c r="A66" s="54"/>
      <c r="B66" s="504" t="s">
        <v>357</v>
      </c>
      <c r="C66" s="505"/>
      <c r="D66" s="505"/>
      <c r="E66" s="505"/>
      <c r="F66" s="505"/>
      <c r="G66" s="497"/>
      <c r="H66" s="74">
        <v>173454</v>
      </c>
      <c r="I66" s="54"/>
      <c r="J66" s="75" t="s">
        <v>358</v>
      </c>
    </row>
    <row r="67" spans="1:10" ht="12">
      <c r="A67" s="54"/>
      <c r="B67" s="504" t="s">
        <v>325</v>
      </c>
      <c r="C67" s="505"/>
      <c r="D67" s="505"/>
      <c r="E67" s="505"/>
      <c r="F67" s="505"/>
      <c r="G67" s="497"/>
      <c r="H67" s="74">
        <v>0</v>
      </c>
      <c r="I67" s="54"/>
      <c r="J67" s="75" t="s">
        <v>326</v>
      </c>
    </row>
    <row r="68" spans="1:10" ht="12.75" customHeight="1">
      <c r="A68" s="54"/>
      <c r="B68" s="73"/>
      <c r="C68" s="89"/>
      <c r="D68" s="89"/>
      <c r="E68" s="89"/>
      <c r="F68" s="89"/>
      <c r="G68" s="89"/>
      <c r="H68" s="54"/>
      <c r="I68" s="54"/>
      <c r="J68" s="54"/>
    </row>
    <row r="69" spans="1:10" ht="12">
      <c r="A69" s="54"/>
      <c r="B69" s="504" t="s">
        <v>359</v>
      </c>
      <c r="C69" s="505"/>
      <c r="D69" s="505"/>
      <c r="E69" s="505"/>
      <c r="F69" s="505"/>
      <c r="G69" s="497"/>
      <c r="H69" s="87">
        <f>IF(ISERROR(H54+SUM(H56:H57)-SUM(H59:H67)),0,H54+SUM(H56:H57)-SUM(H59:H67))</f>
        <v>10742577</v>
      </c>
      <c r="I69" s="54"/>
      <c r="J69" s="54"/>
    </row>
    <row r="70" spans="1:10" ht="12">
      <c r="A70" s="54"/>
      <c r="B70" s="89"/>
      <c r="C70" s="89"/>
      <c r="D70" s="89"/>
      <c r="E70" s="89"/>
      <c r="F70" s="89"/>
      <c r="G70" s="89"/>
      <c r="H70" s="54"/>
      <c r="I70" s="54"/>
      <c r="J70" s="54"/>
    </row>
    <row r="71" spans="1:10" ht="12.75">
      <c r="A71" s="54"/>
      <c r="B71" s="504" t="s">
        <v>360</v>
      </c>
      <c r="C71" s="505"/>
      <c r="D71" s="505"/>
      <c r="E71" s="505"/>
      <c r="F71" s="505"/>
      <c r="G71" s="497"/>
      <c r="H71" s="95" t="str">
        <f>IF(H69&gt;H51,"Yes","No")</f>
        <v>No</v>
      </c>
      <c r="I71" s="54"/>
      <c r="J71" s="54"/>
    </row>
    <row r="72" spans="1:10" ht="12.75">
      <c r="A72" s="54"/>
      <c r="B72" s="78"/>
      <c r="C72" s="73"/>
      <c r="D72" s="73"/>
      <c r="E72" s="73"/>
      <c r="F72" s="73"/>
      <c r="G72" s="85"/>
      <c r="H72" s="419"/>
      <c r="I72" s="54"/>
      <c r="J72" s="54"/>
    </row>
    <row r="73" spans="1:10" ht="12.75">
      <c r="A73" s="54"/>
      <c r="B73" s="78" t="s">
        <v>15</v>
      </c>
      <c r="C73" s="73"/>
      <c r="D73" s="73"/>
      <c r="E73" s="73"/>
      <c r="F73" s="73"/>
      <c r="G73" s="85"/>
      <c r="H73" s="420">
        <f>+H69-H51</f>
        <v>-122162.62312091328</v>
      </c>
      <c r="I73" s="54"/>
      <c r="J73" s="54"/>
    </row>
    <row r="74" spans="1:10" ht="12.75">
      <c r="A74" s="54"/>
      <c r="B74" s="78"/>
      <c r="C74" s="73"/>
      <c r="D74" s="73"/>
      <c r="E74" s="73"/>
      <c r="F74" s="73"/>
      <c r="G74" s="85"/>
      <c r="H74" s="419"/>
      <c r="I74" s="54"/>
      <c r="J74" s="54"/>
    </row>
    <row r="75" ht="12">
      <c r="A75" s="5"/>
    </row>
    <row r="76" spans="1:8" ht="12">
      <c r="A76" s="5"/>
      <c r="B76" s="56" t="s">
        <v>267</v>
      </c>
      <c r="C76" s="57"/>
      <c r="H76" s="417" t="s">
        <v>408</v>
      </c>
    </row>
    <row r="77" spans="2:8" ht="12.75">
      <c r="B77" s="58" t="s">
        <v>270</v>
      </c>
      <c r="C77" s="59"/>
      <c r="H77" s="60"/>
    </row>
    <row r="78" spans="2:8" ht="12.75">
      <c r="B78" s="63" t="s">
        <v>272</v>
      </c>
      <c r="C78" s="59"/>
      <c r="H78" s="65"/>
    </row>
    <row r="79" spans="1:8" ht="12">
      <c r="A79" s="67" t="s">
        <v>273</v>
      </c>
      <c r="B79" s="64" t="s">
        <v>274</v>
      </c>
      <c r="C79" s="59"/>
      <c r="H79" s="68">
        <f>H26</f>
        <v>10499247</v>
      </c>
    </row>
    <row r="80" spans="1:8" ht="12.75">
      <c r="A80" s="8"/>
      <c r="B80" s="5"/>
      <c r="C80" s="59"/>
      <c r="H80" s="60"/>
    </row>
    <row r="81" spans="1:8" ht="12.75">
      <c r="A81" s="8"/>
      <c r="B81" s="69" t="s">
        <v>278</v>
      </c>
      <c r="C81" s="59"/>
      <c r="H81" s="60"/>
    </row>
    <row r="82" spans="1:8" ht="12">
      <c r="A82" s="67" t="s">
        <v>279</v>
      </c>
      <c r="B82" s="9" t="s">
        <v>280</v>
      </c>
      <c r="C82" s="59"/>
      <c r="H82" s="68">
        <f>H34</f>
        <v>101889593</v>
      </c>
    </row>
    <row r="83" spans="1:8" ht="12.75">
      <c r="A83" s="8" t="s">
        <v>209</v>
      </c>
      <c r="B83" s="71" t="s">
        <v>209</v>
      </c>
      <c r="C83" s="59"/>
      <c r="H83" s="72" t="s">
        <v>209</v>
      </c>
    </row>
    <row r="84" spans="1:8" ht="12">
      <c r="A84" s="67" t="s">
        <v>285</v>
      </c>
      <c r="B84" s="9" t="s">
        <v>286</v>
      </c>
      <c r="C84" s="59"/>
      <c r="H84" s="68">
        <f>H45</f>
        <v>98462001</v>
      </c>
    </row>
    <row r="85" spans="1:8" ht="12.75">
      <c r="A85" s="55"/>
      <c r="H85" s="76"/>
    </row>
    <row r="86" spans="1:8" ht="12.75">
      <c r="A86" s="8"/>
      <c r="B86" s="63" t="s">
        <v>290</v>
      </c>
      <c r="C86" s="59"/>
      <c r="H86" s="65"/>
    </row>
    <row r="87" spans="1:8" ht="12">
      <c r="A87" s="67" t="s">
        <v>293</v>
      </c>
      <c r="B87" s="64" t="s">
        <v>294</v>
      </c>
      <c r="C87" s="59"/>
      <c r="H87" s="68">
        <f>H48</f>
        <v>10864739.623120913</v>
      </c>
    </row>
    <row r="88" spans="1:8" ht="12.75">
      <c r="A88" s="8" t="s">
        <v>209</v>
      </c>
      <c r="B88" s="9" t="s">
        <v>209</v>
      </c>
      <c r="C88" s="59"/>
      <c r="H88" s="81" t="s">
        <v>209</v>
      </c>
    </row>
    <row r="89" spans="1:8" ht="12">
      <c r="A89" s="67" t="s">
        <v>299</v>
      </c>
      <c r="B89" s="64" t="s">
        <v>300</v>
      </c>
      <c r="C89" s="59"/>
      <c r="H89" s="68">
        <f>H49</f>
        <v>10864739.623120913</v>
      </c>
    </row>
    <row r="90" spans="1:8" ht="12.75">
      <c r="A90" s="8"/>
      <c r="B90" s="64"/>
      <c r="C90" s="59"/>
      <c r="H90" s="60"/>
    </row>
    <row r="91" spans="1:8" ht="12">
      <c r="A91" s="82" t="s">
        <v>305</v>
      </c>
      <c r="B91" s="64" t="s">
        <v>306</v>
      </c>
      <c r="C91" s="59"/>
      <c r="H91" s="68">
        <f>H51</f>
        <v>10864739.623120913</v>
      </c>
    </row>
    <row r="92" spans="1:8" ht="13.5" thickBot="1">
      <c r="A92" s="8"/>
      <c r="B92" s="64"/>
      <c r="C92" s="59"/>
      <c r="H92" s="60"/>
    </row>
    <row r="93" spans="1:8" ht="12.75" thickBot="1">
      <c r="A93" s="83" t="s">
        <v>311</v>
      </c>
      <c r="B93" s="69" t="s">
        <v>312</v>
      </c>
      <c r="C93" s="59"/>
      <c r="H93" s="84">
        <f>H69</f>
        <v>10742577</v>
      </c>
    </row>
    <row r="94" spans="1:8" ht="13.5" thickBot="1">
      <c r="A94" s="8"/>
      <c r="B94" s="79"/>
      <c r="C94" s="59"/>
      <c r="H94" s="60"/>
    </row>
    <row r="95" spans="1:8" ht="12.75" thickBot="1">
      <c r="A95" s="83" t="s">
        <v>314</v>
      </c>
      <c r="B95" s="69" t="s">
        <v>315</v>
      </c>
      <c r="C95" s="59"/>
      <c r="H95" s="88" t="str">
        <f>H71</f>
        <v>No</v>
      </c>
    </row>
    <row r="96" spans="1:4" ht="13.5" thickBot="1">
      <c r="A96" s="5"/>
      <c r="D96" s="76"/>
    </row>
    <row r="97" spans="1:8" ht="12">
      <c r="A97" s="5"/>
      <c r="B97" s="533" t="s">
        <v>317</v>
      </c>
      <c r="C97" s="534"/>
      <c r="D97" s="534"/>
      <c r="E97" s="534"/>
      <c r="F97" s="534"/>
      <c r="G97" s="534"/>
      <c r="H97" s="535"/>
    </row>
    <row r="98" spans="1:8" ht="26.25" customHeight="1">
      <c r="A98" s="5"/>
      <c r="B98" s="435" t="s">
        <v>318</v>
      </c>
      <c r="C98" s="436"/>
      <c r="D98" s="436"/>
      <c r="E98" s="436"/>
      <c r="F98" s="436"/>
      <c r="G98" s="436"/>
      <c r="H98" s="437"/>
    </row>
    <row r="99" spans="1:8" ht="9" customHeight="1">
      <c r="A99" s="5"/>
      <c r="B99" s="492"/>
      <c r="C99" s="487"/>
      <c r="D99" s="487"/>
      <c r="E99" s="487"/>
      <c r="F99" s="487"/>
      <c r="G99" s="487"/>
      <c r="H99" s="488"/>
    </row>
    <row r="100" spans="1:8" ht="12.75" thickBot="1">
      <c r="A100" s="5"/>
      <c r="B100" s="457"/>
      <c r="C100" s="458"/>
      <c r="D100" s="458"/>
      <c r="E100" s="458"/>
      <c r="F100" s="458"/>
      <c r="G100" s="458"/>
      <c r="H100" s="459"/>
    </row>
    <row r="101" ht="12">
      <c r="A101" s="5"/>
    </row>
    <row r="102" ht="12">
      <c r="A102" s="5"/>
    </row>
    <row r="103" ht="12">
      <c r="A103" s="5"/>
    </row>
    <row r="104" ht="12">
      <c r="A104" s="5"/>
    </row>
    <row r="105" ht="12">
      <c r="A105" s="5"/>
    </row>
    <row r="106" ht="12">
      <c r="A106" s="5"/>
    </row>
    <row r="107" ht="12">
      <c r="A107" s="5"/>
    </row>
    <row r="108" ht="12">
      <c r="A108" s="5"/>
    </row>
    <row r="109" ht="12">
      <c r="A109" s="5"/>
    </row>
    <row r="110" ht="12">
      <c r="A110" s="5"/>
    </row>
    <row r="111" ht="12">
      <c r="A111" s="5"/>
    </row>
    <row r="112" ht="12">
      <c r="A112" s="5"/>
    </row>
    <row r="113" ht="12">
      <c r="A113" s="5"/>
    </row>
    <row r="114" ht="12">
      <c r="A114" s="5"/>
    </row>
    <row r="115" ht="12">
      <c r="A115" s="5"/>
    </row>
  </sheetData>
  <mergeCells count="55">
    <mergeCell ref="B7:E8"/>
    <mergeCell ref="A10:G10"/>
    <mergeCell ref="B4:E5"/>
    <mergeCell ref="B11:G11"/>
    <mergeCell ref="B13:G13"/>
    <mergeCell ref="B14:G14"/>
    <mergeCell ref="B15:G15"/>
    <mergeCell ref="B16:G16"/>
    <mergeCell ref="B17:G17"/>
    <mergeCell ref="B18:G18"/>
    <mergeCell ref="B19:G19"/>
    <mergeCell ref="B26:G26"/>
    <mergeCell ref="A28:G28"/>
    <mergeCell ref="B20:G20"/>
    <mergeCell ref="B22:G22"/>
    <mergeCell ref="B24:G24"/>
    <mergeCell ref="B32:G32"/>
    <mergeCell ref="B34:G34"/>
    <mergeCell ref="B29:G29"/>
    <mergeCell ref="B31:G31"/>
    <mergeCell ref="B99:H100"/>
    <mergeCell ref="B39:G39"/>
    <mergeCell ref="A36:G36"/>
    <mergeCell ref="B37:G37"/>
    <mergeCell ref="B41:G41"/>
    <mergeCell ref="B42:G42"/>
    <mergeCell ref="B98:H98"/>
    <mergeCell ref="B97:H97"/>
    <mergeCell ref="B51:G51"/>
    <mergeCell ref="A53:G53"/>
    <mergeCell ref="B54:G54"/>
    <mergeCell ref="B43:G43"/>
    <mergeCell ref="B45:G45"/>
    <mergeCell ref="A47:G47"/>
    <mergeCell ref="B48:G48"/>
    <mergeCell ref="A1:J1"/>
    <mergeCell ref="A2:J2"/>
    <mergeCell ref="B65:G65"/>
    <mergeCell ref="B66:G66"/>
    <mergeCell ref="B61:G61"/>
    <mergeCell ref="B62:G62"/>
    <mergeCell ref="B63:G63"/>
    <mergeCell ref="B64:G64"/>
    <mergeCell ref="B56:G56"/>
    <mergeCell ref="B57:G57"/>
    <mergeCell ref="B71:G71"/>
    <mergeCell ref="F4:G4"/>
    <mergeCell ref="F5:G5"/>
    <mergeCell ref="F7:G7"/>
    <mergeCell ref="F8:G8"/>
    <mergeCell ref="B67:G67"/>
    <mergeCell ref="B69:G69"/>
    <mergeCell ref="B59:G59"/>
    <mergeCell ref="B60:G60"/>
    <mergeCell ref="B49:G49"/>
  </mergeCells>
  <conditionalFormatting sqref="H11 H13:H20 H24 H29 H31:H32 H26 H37 H39 H41:H43 H49 H54 H56:H57 H59:H67">
    <cfRule type="expression" priority="1" dxfId="0" stopIfTrue="1">
      <formula>AND(LEFT(#REF!,1)="E",H11="")</formula>
    </cfRule>
    <cfRule type="expression" priority="2" dxfId="1" stopIfTrue="1">
      <formula>LEFT(#REF!,1)="E"</formula>
    </cfRule>
    <cfRule type="expression" priority="3" dxfId="2" stopIfTrue="1">
      <formula>LEFT(#REF!,1)="W"</formula>
    </cfRule>
  </conditionalFormatting>
  <printOptions/>
  <pageMargins left="0.27" right="0.22" top="0.43" bottom="0.41" header="0.25" footer="0.24"/>
  <pageSetup horizontalDpi="600" verticalDpi="600" orientation="landscape" paperSize="9" r:id="rId1"/>
  <rowBreaks count="1" manualBreakCount="1">
    <brk id="74" max="255" man="1"/>
  </rowBreaks>
</worksheet>
</file>

<file path=xl/worksheets/sheet4.xml><?xml version="1.0" encoding="utf-8"?>
<worksheet xmlns="http://schemas.openxmlformats.org/spreadsheetml/2006/main" xmlns:r="http://schemas.openxmlformats.org/officeDocument/2006/relationships">
  <dimension ref="A1:AC18"/>
  <sheetViews>
    <sheetView workbookViewId="0" topLeftCell="A1">
      <selection activeCell="A1" sqref="A1:L1"/>
    </sheetView>
  </sheetViews>
  <sheetFormatPr defaultColWidth="9.140625" defaultRowHeight="12"/>
  <cols>
    <col min="1" max="1" width="11.8515625" style="1" customWidth="1"/>
    <col min="2" max="2" width="17.7109375" style="1" customWidth="1"/>
    <col min="3" max="6" width="9.140625" style="1" customWidth="1"/>
    <col min="7" max="7" width="13.00390625" style="1" customWidth="1"/>
    <col min="8" max="16" width="9.140625" style="1" customWidth="1"/>
    <col min="17" max="17" width="12.421875" style="1" customWidth="1"/>
    <col min="18" max="19" width="9.140625" style="1" customWidth="1"/>
    <col min="20" max="20" width="10.7109375" style="1" customWidth="1"/>
    <col min="21" max="22" width="9.140625" style="1" customWidth="1"/>
    <col min="23" max="23" width="12.8515625" style="1" customWidth="1"/>
    <col min="24" max="25" width="9.140625" style="1" customWidth="1"/>
    <col min="26" max="26" width="8.8515625" style="1" customWidth="1"/>
    <col min="27" max="28" width="9.140625" style="1" customWidth="1"/>
    <col min="29" max="29" width="4.57421875" style="1" hidden="1" customWidth="1"/>
    <col min="30" max="16384" width="9.140625" style="1" customWidth="1"/>
  </cols>
  <sheetData>
    <row r="1" spans="1:28" ht="13.5" thickBot="1">
      <c r="A1" s="493" t="str">
        <f>+SBST!A1</f>
        <v>SOLIHULL SECTION 52 EDUCATION BUDGET STATEMENT 2006-07 Version 3 Published 3 August 2006</v>
      </c>
      <c r="B1" s="489"/>
      <c r="C1" s="489"/>
      <c r="D1" s="489"/>
      <c r="E1" s="489"/>
      <c r="F1" s="489"/>
      <c r="G1" s="489"/>
      <c r="H1" s="489"/>
      <c r="I1" s="489"/>
      <c r="J1" s="489"/>
      <c r="K1" s="489"/>
      <c r="L1" s="490"/>
      <c r="M1" s="3"/>
      <c r="Q1" s="544" t="str">
        <f>A1</f>
        <v>SOLIHULL SECTION 52 EDUCATION BUDGET STATEMENT 2006-07 Version 3 Published 3 August 2006</v>
      </c>
      <c r="R1" s="545"/>
      <c r="S1" s="545"/>
      <c r="T1" s="545"/>
      <c r="U1" s="545"/>
      <c r="V1" s="545"/>
      <c r="W1" s="545"/>
      <c r="X1" s="607" t="str">
        <f>A2</f>
        <v>Annex to Table 1: Youth Service</v>
      </c>
      <c r="Y1" s="607"/>
      <c r="Z1" s="607"/>
      <c r="AA1" s="607"/>
      <c r="AB1" s="608"/>
    </row>
    <row r="2" spans="1:12" ht="13.5" thickBot="1">
      <c r="A2" s="493" t="s">
        <v>361</v>
      </c>
      <c r="B2" s="489"/>
      <c r="C2" s="489"/>
      <c r="D2" s="489"/>
      <c r="E2" s="489"/>
      <c r="F2" s="489"/>
      <c r="G2" s="489"/>
      <c r="H2" s="489"/>
      <c r="I2" s="489"/>
      <c r="J2" s="489"/>
      <c r="K2" s="489"/>
      <c r="L2" s="490"/>
    </row>
    <row r="3" ht="12.75" thickBot="1"/>
    <row r="4" spans="1:28" ht="40.5" customHeight="1" thickBot="1">
      <c r="A4" s="603" t="s">
        <v>362</v>
      </c>
      <c r="B4" s="604"/>
      <c r="C4" s="605" t="s">
        <v>363</v>
      </c>
      <c r="D4" s="606"/>
      <c r="E4" s="600" t="s">
        <v>364</v>
      </c>
      <c r="F4" s="601"/>
      <c r="G4" s="600" t="s">
        <v>365</v>
      </c>
      <c r="H4" s="601"/>
      <c r="I4" s="600" t="s">
        <v>366</v>
      </c>
      <c r="J4" s="601"/>
      <c r="K4" s="600" t="s">
        <v>367</v>
      </c>
      <c r="L4" s="601"/>
      <c r="Q4" s="602" t="str">
        <f>A4</f>
        <v>YOUTH SERVICE (NET)</v>
      </c>
      <c r="R4" s="602"/>
      <c r="S4" s="599" t="str">
        <f>C4</f>
        <v>LEA Direct Spend</v>
      </c>
      <c r="T4" s="599"/>
      <c r="U4" s="599" t="str">
        <f>E4</f>
        <v>Contracted with Voluntary Organisations</v>
      </c>
      <c r="V4" s="599"/>
      <c r="W4" s="599" t="str">
        <f>G4</f>
        <v>Contracted with Other Organisations</v>
      </c>
      <c r="X4" s="599"/>
      <c r="Y4" s="599" t="str">
        <f>I4</f>
        <v>Voluntary Organisations Grant Aid</v>
      </c>
      <c r="Z4" s="599"/>
      <c r="AA4" s="599" t="str">
        <f>K4</f>
        <v>TOTAL</v>
      </c>
      <c r="AB4" s="599"/>
    </row>
    <row r="5" spans="1:28" ht="13.5" thickBot="1">
      <c r="A5" s="590" t="s">
        <v>368</v>
      </c>
      <c r="B5" s="591"/>
      <c r="C5" s="598"/>
      <c r="D5" s="598"/>
      <c r="E5" s="598"/>
      <c r="F5" s="598"/>
      <c r="G5" s="598"/>
      <c r="H5" s="598"/>
      <c r="I5" s="598"/>
      <c r="J5" s="598"/>
      <c r="K5" s="598"/>
      <c r="L5" s="598"/>
      <c r="Q5" s="544" t="str">
        <f>A5</f>
        <v>Management</v>
      </c>
      <c r="R5" s="545"/>
      <c r="S5" s="595"/>
      <c r="T5" s="596"/>
      <c r="U5" s="596"/>
      <c r="V5" s="596"/>
      <c r="W5" s="596"/>
      <c r="X5" s="596"/>
      <c r="Y5" s="596"/>
      <c r="Z5" s="596"/>
      <c r="AA5" s="596"/>
      <c r="AB5" s="597"/>
    </row>
    <row r="6" spans="1:29" ht="12.75">
      <c r="A6" s="588" t="s">
        <v>369</v>
      </c>
      <c r="B6" s="589"/>
      <c r="C6" s="584">
        <v>61548</v>
      </c>
      <c r="D6" s="585"/>
      <c r="E6" s="585">
        <v>0</v>
      </c>
      <c r="F6" s="585"/>
      <c r="G6" s="585">
        <v>0</v>
      </c>
      <c r="H6" s="585"/>
      <c r="I6" s="581"/>
      <c r="J6" s="581"/>
      <c r="K6" s="582">
        <f>SUM(C6:G6)</f>
        <v>61548</v>
      </c>
      <c r="L6" s="583"/>
      <c r="Q6" s="544" t="str">
        <f aca="true" t="shared" si="0" ref="Q6:Q18">A6</f>
        <v>Full Time</v>
      </c>
      <c r="R6" s="546"/>
      <c r="S6" s="570" t="e">
        <f>IF(AND(C6="",#REF!&lt;&gt;"*"),"",IF(AND(C6="",#REF!="*"),"Error 1.1",IF(ISNUMBER(C6)=FALSE,"Error 1.2","")))</f>
        <v>#REF!</v>
      </c>
      <c r="T6" s="571"/>
      <c r="U6" s="570" t="e">
        <f>IF(AND(E6="",#REF!&lt;&gt;"*"),"",IF(AND(E6="",#REF!="*"),"Error 1.1",IF(ISNUMBER(E6)=FALSE,"Error 1.2","")))</f>
        <v>#REF!</v>
      </c>
      <c r="V6" s="571"/>
      <c r="W6" s="570" t="e">
        <f>IF(AND(G6="",#REF!&lt;&gt;"*"),"",IF(AND(G6="",#REF!="*"),"Error 1.1",IF(ISNUMBER(G6)=FALSE,"Error 1.2","")))</f>
        <v>#REF!</v>
      </c>
      <c r="X6" s="571"/>
      <c r="Y6" s="572"/>
      <c r="Z6" s="573"/>
      <c r="AA6" s="544"/>
      <c r="AB6" s="546"/>
      <c r="AC6" s="2" t="e">
        <f>IF(LEN(TRIM(S6&amp;U6&amp;W6))&gt;0,1,0)</f>
        <v>#REF!</v>
      </c>
    </row>
    <row r="7" spans="1:29" ht="13.5" thickBot="1">
      <c r="A7" s="586" t="s">
        <v>370</v>
      </c>
      <c r="B7" s="587"/>
      <c r="C7" s="584">
        <v>0</v>
      </c>
      <c r="D7" s="585"/>
      <c r="E7" s="585">
        <v>0</v>
      </c>
      <c r="F7" s="585"/>
      <c r="G7" s="585">
        <v>0</v>
      </c>
      <c r="H7" s="585"/>
      <c r="I7" s="581"/>
      <c r="J7" s="581"/>
      <c r="K7" s="582">
        <f>SUM(C7:G7)</f>
        <v>0</v>
      </c>
      <c r="L7" s="583"/>
      <c r="Q7" s="544" t="str">
        <f t="shared" si="0"/>
        <v>Part Time</v>
      </c>
      <c r="R7" s="546"/>
      <c r="S7" s="570" t="e">
        <f>IF(AND(C7="",#REF!&lt;&gt;"*"),"",IF(AND(C7="",#REF!="*"),"Error 1.1",IF(ISNUMBER(C7)=FALSE,"Error 1.2","")))</f>
        <v>#REF!</v>
      </c>
      <c r="T7" s="571"/>
      <c r="U7" s="570" t="e">
        <f>IF(AND(E7="",#REF!&lt;&gt;"*"),"",IF(AND(E7="",#REF!="*"),"Error 1.1",IF(ISNUMBER(E7)=FALSE,"Error 1.2","")))</f>
        <v>#REF!</v>
      </c>
      <c r="V7" s="571"/>
      <c r="W7" s="570" t="e">
        <f>IF(AND(G7="",#REF!&lt;&gt;"*"),"",IF(AND(G7="",#REF!="*"),"Error 1.1",IF(ISNUMBER(G7)=FALSE,"Error 1.2","")))</f>
        <v>#REF!</v>
      </c>
      <c r="X7" s="571"/>
      <c r="Y7" s="572"/>
      <c r="Z7" s="573"/>
      <c r="AA7" s="544"/>
      <c r="AB7" s="546"/>
      <c r="AC7" s="2" t="e">
        <f aca="true" t="shared" si="1" ref="AC7:AC15">IF(LEN(TRIM(S7&amp;U7&amp;W7))&gt;0,1,0)</f>
        <v>#REF!</v>
      </c>
    </row>
    <row r="8" spans="1:29" ht="13.5" thickBot="1">
      <c r="A8" s="590" t="s">
        <v>371</v>
      </c>
      <c r="B8" s="591"/>
      <c r="C8" s="596"/>
      <c r="D8" s="596"/>
      <c r="E8" s="596"/>
      <c r="F8" s="596"/>
      <c r="G8" s="596"/>
      <c r="H8" s="596"/>
      <c r="I8" s="596"/>
      <c r="J8" s="596"/>
      <c r="K8" s="596"/>
      <c r="L8" s="596"/>
      <c r="Q8" s="544" t="str">
        <f t="shared" si="0"/>
        <v>Youth Workers</v>
      </c>
      <c r="R8" s="546"/>
      <c r="S8" s="595"/>
      <c r="T8" s="596"/>
      <c r="U8" s="596"/>
      <c r="V8" s="596"/>
      <c r="W8" s="596"/>
      <c r="X8" s="596"/>
      <c r="Y8" s="596"/>
      <c r="Z8" s="596"/>
      <c r="AA8" s="596"/>
      <c r="AB8" s="597"/>
      <c r="AC8" s="2">
        <f t="shared" si="1"/>
        <v>0</v>
      </c>
    </row>
    <row r="9" spans="1:29" ht="12.75">
      <c r="A9" s="588" t="s">
        <v>369</v>
      </c>
      <c r="B9" s="589"/>
      <c r="C9" s="584">
        <v>486408</v>
      </c>
      <c r="D9" s="585"/>
      <c r="E9" s="585">
        <v>0</v>
      </c>
      <c r="F9" s="585"/>
      <c r="G9" s="585">
        <v>0</v>
      </c>
      <c r="H9" s="585"/>
      <c r="I9" s="581"/>
      <c r="J9" s="581"/>
      <c r="K9" s="582">
        <f>SUM(C9:G9)</f>
        <v>486408</v>
      </c>
      <c r="L9" s="583"/>
      <c r="Q9" s="544" t="str">
        <f t="shared" si="0"/>
        <v>Full Time</v>
      </c>
      <c r="R9" s="546"/>
      <c r="S9" s="570" t="e">
        <f>IF(AND(C9="",#REF!&lt;&gt;"*"),"",IF(AND(C9="",#REF!="*"),"Error 1.1",IF(ISNUMBER(C9)=FALSE,"Error 1.2","")))</f>
        <v>#REF!</v>
      </c>
      <c r="T9" s="571"/>
      <c r="U9" s="570" t="e">
        <f>IF(AND(E9="",#REF!&lt;&gt;"*"),"",IF(AND(E9="",#REF!="*"),"Error 1.1",IF(ISNUMBER(E9)=FALSE,"Error 1.2","")))</f>
        <v>#REF!</v>
      </c>
      <c r="V9" s="571"/>
      <c r="W9" s="570" t="e">
        <f>IF(AND(G9="",#REF!&lt;&gt;"*"),"",IF(AND(G9="",#REF!="*"),"Error 1.1",IF(ISNUMBER(G9)=FALSE,"Error 1.2","")))</f>
        <v>#REF!</v>
      </c>
      <c r="X9" s="571"/>
      <c r="Y9" s="572"/>
      <c r="Z9" s="573"/>
      <c r="AA9" s="544"/>
      <c r="AB9" s="546"/>
      <c r="AC9" s="2" t="e">
        <f t="shared" si="1"/>
        <v>#REF!</v>
      </c>
    </row>
    <row r="10" spans="1:29" ht="13.5" thickBot="1">
      <c r="A10" s="586" t="s">
        <v>370</v>
      </c>
      <c r="B10" s="587"/>
      <c r="C10" s="584">
        <v>222864</v>
      </c>
      <c r="D10" s="585"/>
      <c r="E10" s="585">
        <v>0</v>
      </c>
      <c r="F10" s="585"/>
      <c r="G10" s="585">
        <v>0</v>
      </c>
      <c r="H10" s="585"/>
      <c r="I10" s="581"/>
      <c r="J10" s="581"/>
      <c r="K10" s="582">
        <f>SUM(C10:G10)</f>
        <v>222864</v>
      </c>
      <c r="L10" s="583"/>
      <c r="Q10" s="544" t="str">
        <f t="shared" si="0"/>
        <v>Part Time</v>
      </c>
      <c r="R10" s="546"/>
      <c r="S10" s="570" t="e">
        <f>IF(AND(C10="",#REF!&lt;&gt;"*"),"",IF(AND(C10="",#REF!="*"),"Error 1.1",IF(ISNUMBER(C10)=FALSE,"Error 1.2","")))</f>
        <v>#REF!</v>
      </c>
      <c r="T10" s="571"/>
      <c r="U10" s="570" t="e">
        <f>IF(AND(E10="",#REF!&lt;&gt;"*"),"",IF(AND(E10="",#REF!="*"),"Error 1.1",IF(ISNUMBER(E10)=FALSE,"Error 1.2","")))</f>
        <v>#REF!</v>
      </c>
      <c r="V10" s="571"/>
      <c r="W10" s="570" t="e">
        <f>IF(AND(G10="",#REF!&lt;&gt;"*"),"",IF(AND(G10="",#REF!="*"),"Error 1.1",IF(ISNUMBER(G10)=FALSE,"Error 1.2","")))</f>
        <v>#REF!</v>
      </c>
      <c r="X10" s="571"/>
      <c r="Y10" s="572"/>
      <c r="Z10" s="573"/>
      <c r="AA10" s="544"/>
      <c r="AB10" s="546"/>
      <c r="AC10" s="2" t="e">
        <f t="shared" si="1"/>
        <v>#REF!</v>
      </c>
    </row>
    <row r="11" spans="1:29" ht="13.5" thickBot="1">
      <c r="A11" s="590" t="s">
        <v>372</v>
      </c>
      <c r="B11" s="591"/>
      <c r="C11" s="592"/>
      <c r="D11" s="593"/>
      <c r="E11" s="593"/>
      <c r="F11" s="593"/>
      <c r="G11" s="593"/>
      <c r="H11" s="593"/>
      <c r="I11" s="593"/>
      <c r="J11" s="593"/>
      <c r="K11" s="593"/>
      <c r="L11" s="594"/>
      <c r="Q11" s="544" t="str">
        <f t="shared" si="0"/>
        <v>Support Staff</v>
      </c>
      <c r="R11" s="546"/>
      <c r="S11" s="595"/>
      <c r="T11" s="596"/>
      <c r="U11" s="596"/>
      <c r="V11" s="596"/>
      <c r="W11" s="596"/>
      <c r="X11" s="596"/>
      <c r="Y11" s="596"/>
      <c r="Z11" s="596"/>
      <c r="AA11" s="596"/>
      <c r="AB11" s="597"/>
      <c r="AC11" s="2">
        <f t="shared" si="1"/>
        <v>0</v>
      </c>
    </row>
    <row r="12" spans="1:29" ht="12.75">
      <c r="A12" s="588" t="s">
        <v>369</v>
      </c>
      <c r="B12" s="589"/>
      <c r="C12" s="584">
        <v>35395</v>
      </c>
      <c r="D12" s="585"/>
      <c r="E12" s="585">
        <v>0</v>
      </c>
      <c r="F12" s="585"/>
      <c r="G12" s="585">
        <v>0</v>
      </c>
      <c r="H12" s="585"/>
      <c r="I12" s="581"/>
      <c r="J12" s="581"/>
      <c r="K12" s="582">
        <f>SUM(C12:G12)</f>
        <v>35395</v>
      </c>
      <c r="L12" s="583"/>
      <c r="Q12" s="544" t="str">
        <f t="shared" si="0"/>
        <v>Full Time</v>
      </c>
      <c r="R12" s="546"/>
      <c r="S12" s="570" t="e">
        <f>IF(AND(C12="",#REF!&lt;&gt;"*"),"",IF(AND(C12="",#REF!="*"),"Error 1.1",IF(ISNUMBER(C12)=FALSE,"Error 1.2","")))</f>
        <v>#REF!</v>
      </c>
      <c r="T12" s="571"/>
      <c r="U12" s="570" t="e">
        <f>IF(AND(E12="",#REF!&lt;&gt;"*"),"",IF(AND(E12="",#REF!="*"),"Error 1.1",IF(ISNUMBER(E12)=FALSE,"Error 1.2","")))</f>
        <v>#REF!</v>
      </c>
      <c r="V12" s="571"/>
      <c r="W12" s="570" t="e">
        <f>IF(AND(G12="",#REF!&lt;&gt;"*"),"",IF(AND(G12="",#REF!="*"),"Error 1.1",IF(ISNUMBER(G12)=FALSE,"Error 1.2","")))</f>
        <v>#REF!</v>
      </c>
      <c r="X12" s="571"/>
      <c r="Y12" s="572"/>
      <c r="Z12" s="573"/>
      <c r="AA12" s="544"/>
      <c r="AB12" s="546"/>
      <c r="AC12" s="2" t="e">
        <f t="shared" si="1"/>
        <v>#REF!</v>
      </c>
    </row>
    <row r="13" spans="1:29" ht="13.5" thickBot="1">
      <c r="A13" s="586" t="s">
        <v>370</v>
      </c>
      <c r="B13" s="587"/>
      <c r="C13" s="584">
        <v>91885</v>
      </c>
      <c r="D13" s="585"/>
      <c r="E13" s="585">
        <v>0</v>
      </c>
      <c r="F13" s="585"/>
      <c r="G13" s="585">
        <v>0</v>
      </c>
      <c r="H13" s="585"/>
      <c r="I13" s="581"/>
      <c r="J13" s="581"/>
      <c r="K13" s="582">
        <f>SUM(C13:G13)</f>
        <v>91885</v>
      </c>
      <c r="L13" s="583"/>
      <c r="Q13" s="544" t="str">
        <f t="shared" si="0"/>
        <v>Part Time</v>
      </c>
      <c r="R13" s="546"/>
      <c r="S13" s="570" t="e">
        <f>IF(AND(C13="",#REF!&lt;&gt;"*"),"",IF(AND(C13="",#REF!="*"),"Error 1.1",IF(ISNUMBER(C13)=FALSE,"Error 1.2","")))</f>
        <v>#REF!</v>
      </c>
      <c r="T13" s="571"/>
      <c r="U13" s="570" t="e">
        <f>IF(AND(E13="",#REF!&lt;&gt;"*"),"",IF(AND(E13="",#REF!="*"),"Error 1.1",IF(ISNUMBER(E13)=FALSE,"Error 1.2","")))</f>
        <v>#REF!</v>
      </c>
      <c r="V13" s="571"/>
      <c r="W13" s="570" t="e">
        <f>IF(AND(G13="",#REF!&lt;&gt;"*"),"",IF(AND(G13="",#REF!="*"),"Error 1.1",IF(ISNUMBER(G13)=FALSE,"Error 1.2","")))</f>
        <v>#REF!</v>
      </c>
      <c r="X13" s="571"/>
      <c r="Y13" s="572"/>
      <c r="Z13" s="573"/>
      <c r="AA13" s="544"/>
      <c r="AB13" s="546"/>
      <c r="AC13" s="2" t="e">
        <f t="shared" si="1"/>
        <v>#REF!</v>
      </c>
    </row>
    <row r="14" spans="1:29" ht="13.5" thickBot="1">
      <c r="A14" s="577" t="s">
        <v>373</v>
      </c>
      <c r="B14" s="578"/>
      <c r="C14" s="584">
        <v>10729</v>
      </c>
      <c r="D14" s="585"/>
      <c r="E14" s="585">
        <v>0</v>
      </c>
      <c r="F14" s="585"/>
      <c r="G14" s="585">
        <v>0</v>
      </c>
      <c r="H14" s="585"/>
      <c r="I14" s="581"/>
      <c r="J14" s="581"/>
      <c r="K14" s="582">
        <f>SUM(C14:G14)</f>
        <v>10729</v>
      </c>
      <c r="L14" s="583"/>
      <c r="Q14" s="544" t="str">
        <f t="shared" si="0"/>
        <v>Staff Training</v>
      </c>
      <c r="R14" s="546"/>
      <c r="S14" s="570" t="e">
        <f>IF(AND(C14="",#REF!&lt;&gt;"*"),"",IF(AND(C14="",#REF!="*"),"Error 1.1",IF(ISNUMBER(C14)=FALSE,"Error 1.2","")))</f>
        <v>#REF!</v>
      </c>
      <c r="T14" s="571"/>
      <c r="U14" s="570" t="e">
        <f>IF(AND(E14="",#REF!&lt;&gt;"*"),"",IF(AND(E14="",#REF!="*"),"Error 1.1",IF(ISNUMBER(E14)=FALSE,"Error 1.2","")))</f>
        <v>#REF!</v>
      </c>
      <c r="V14" s="571"/>
      <c r="W14" s="570" t="e">
        <f>IF(AND(G14="",#REF!&lt;&gt;"*"),"",IF(AND(G14="",#REF!="*"),"Error 1.1",IF(ISNUMBER(G14)=FALSE,"Error 1.2","")))</f>
        <v>#REF!</v>
      </c>
      <c r="X14" s="571"/>
      <c r="Y14" s="572"/>
      <c r="Z14" s="573"/>
      <c r="AA14" s="544"/>
      <c r="AB14" s="546"/>
      <c r="AC14" s="2" t="e">
        <f t="shared" si="1"/>
        <v>#REF!</v>
      </c>
    </row>
    <row r="15" spans="1:29" ht="13.5" thickBot="1">
      <c r="A15" s="577" t="s">
        <v>374</v>
      </c>
      <c r="B15" s="578"/>
      <c r="C15" s="579">
        <v>170014</v>
      </c>
      <c r="D15" s="580"/>
      <c r="E15" s="580">
        <v>0</v>
      </c>
      <c r="F15" s="580"/>
      <c r="G15" s="580">
        <v>0</v>
      </c>
      <c r="H15" s="580"/>
      <c r="I15" s="574"/>
      <c r="J15" s="574"/>
      <c r="K15" s="575">
        <f>SUM(C15:G15)</f>
        <v>170014</v>
      </c>
      <c r="L15" s="576"/>
      <c r="Q15" s="544" t="str">
        <f t="shared" si="0"/>
        <v>Non-Staff Costs</v>
      </c>
      <c r="R15" s="546"/>
      <c r="S15" s="570" t="e">
        <f>IF(AND(C15="",#REF!&lt;&gt;"*"),"",IF(AND(C15="",#REF!="*"),"Error 1.1",IF(ISNUMBER(C15)=FALSE,"Error 1.2","")))</f>
        <v>#REF!</v>
      </c>
      <c r="T15" s="571"/>
      <c r="U15" s="570" t="e">
        <f>IF(AND(E15="",#REF!&lt;&gt;"*"),"",IF(AND(E15="",#REF!="*"),"Error 1.1",IF(ISNUMBER(E15)=FALSE,"Error 1.2","")))</f>
        <v>#REF!</v>
      </c>
      <c r="V15" s="571"/>
      <c r="W15" s="570" t="e">
        <f>IF(AND(G15="",#REF!&lt;&gt;"*"),"",IF(AND(G15="",#REF!="*"),"Error 1.1",IF(ISNUMBER(G15)=FALSE,"Error 1.2","")))</f>
        <v>#REF!</v>
      </c>
      <c r="X15" s="571"/>
      <c r="Y15" s="572"/>
      <c r="Z15" s="573"/>
      <c r="AA15" s="544"/>
      <c r="AB15" s="546"/>
      <c r="AC15" s="2" t="e">
        <f t="shared" si="1"/>
        <v>#REF!</v>
      </c>
    </row>
    <row r="16" spans="1:29" ht="39.75" customHeight="1" thickTop="1">
      <c r="A16" s="566" t="s">
        <v>375</v>
      </c>
      <c r="B16" s="567"/>
      <c r="C16" s="568">
        <f>SUM(C6:C15)</f>
        <v>1078843</v>
      </c>
      <c r="D16" s="569"/>
      <c r="E16" s="569">
        <f>SUM(E6:E15)</f>
        <v>0</v>
      </c>
      <c r="F16" s="569"/>
      <c r="G16" s="569">
        <f>SUM(G6:G15)</f>
        <v>0</v>
      </c>
      <c r="H16" s="569"/>
      <c r="I16" s="565">
        <v>10680</v>
      </c>
      <c r="J16" s="565"/>
      <c r="K16" s="560">
        <f>SUM(C16:I16)</f>
        <v>1089523</v>
      </c>
      <c r="L16" s="561"/>
      <c r="Q16" s="551" t="str">
        <f t="shared" si="0"/>
        <v>Total Running Costs (Table 1, Line 2.7.1, Net)</v>
      </c>
      <c r="R16" s="552"/>
      <c r="S16" s="544"/>
      <c r="T16" s="545"/>
      <c r="U16" s="544"/>
      <c r="V16" s="545"/>
      <c r="W16" s="544"/>
      <c r="X16" s="545"/>
      <c r="Y16" s="556" t="e">
        <f>IF(AND(I16="",#REF!&lt;&gt;"*"),"",IF(AND(I16="",#REF!="*"),"Error 1.1",IF(ISNUMBER(I16)=FALSE,"Error 1.2","")))</f>
        <v>#REF!</v>
      </c>
      <c r="Z16" s="557"/>
      <c r="AA16" s="556" t="s">
        <v>33</v>
      </c>
      <c r="AB16" s="558"/>
      <c r="AC16" s="25" t="e">
        <f>IF(LEN(TRIM(Y16&amp;AA16))&gt;0,1,0)</f>
        <v>#REF!</v>
      </c>
    </row>
    <row r="17" spans="1:29" ht="39.75" customHeight="1" thickBot="1">
      <c r="A17" s="562" t="s">
        <v>376</v>
      </c>
      <c r="B17" s="563"/>
      <c r="C17" s="564">
        <v>18160</v>
      </c>
      <c r="D17" s="559"/>
      <c r="E17" s="559">
        <v>0</v>
      </c>
      <c r="F17" s="559"/>
      <c r="G17" s="559">
        <v>0</v>
      </c>
      <c r="H17" s="559"/>
      <c r="I17" s="559">
        <v>0</v>
      </c>
      <c r="J17" s="559"/>
      <c r="K17" s="560">
        <f>SUM(C17:I17)</f>
        <v>18160</v>
      </c>
      <c r="L17" s="561"/>
      <c r="Q17" s="551" t="str">
        <f t="shared" si="0"/>
        <v>Capital (Table 1, Line 2.7.6, Net, Youth Service element)</v>
      </c>
      <c r="R17" s="552"/>
      <c r="S17" s="556" t="e">
        <f>IF(AND(C17="",#REF!&lt;&gt;"*"),"",IF(AND(C17="",#REF!="*"),"Error 1.1",IF(ISNUMBER(C17)=FALSE,"Error 1.2","")))</f>
        <v>#REF!</v>
      </c>
      <c r="T17" s="557"/>
      <c r="U17" s="556" t="e">
        <f>IF(AND(E17="",#REF!&lt;&gt;"*"),"",IF(AND(E17="",#REF!="*"),"Error 1.1",IF(ISNUMBER(E17)=FALSE,"Error 1.2","")))</f>
        <v>#REF!</v>
      </c>
      <c r="V17" s="557"/>
      <c r="W17" s="556" t="e">
        <f>IF(AND(G17="",#REF!&lt;&gt;"*"),"",IF(AND(G17="",#REF!="*"),"Error 1.1",IF(ISNUMBER(G17)=FALSE,"Error 1.2","")))</f>
        <v>#REF!</v>
      </c>
      <c r="X17" s="557"/>
      <c r="Y17" s="556" t="e">
        <f>IF(AND(I17="",#REF!&lt;&gt;"*"),"",IF(AND(I17="",#REF!="*"),"Error 1.1",IF(ISNUMBER(I17)=FALSE,"Error 1.2","")))</f>
        <v>#REF!</v>
      </c>
      <c r="Z17" s="557"/>
      <c r="AA17" s="556" t="s">
        <v>33</v>
      </c>
      <c r="AB17" s="558"/>
      <c r="AC17" s="25" t="e">
        <f>IF(LEN(TRIM(S17&amp;U17&amp;W17&amp;Y17&amp;AA17))&gt;0,1,0)</f>
        <v>#REF!</v>
      </c>
    </row>
    <row r="18" spans="1:28" ht="30" customHeight="1" thickBot="1" thickTop="1">
      <c r="A18" s="553" t="s">
        <v>377</v>
      </c>
      <c r="B18" s="554"/>
      <c r="C18" s="547">
        <f>SUM(C16:D17)</f>
        <v>1097003</v>
      </c>
      <c r="D18" s="555"/>
      <c r="E18" s="547">
        <f>SUM(E16:F17)</f>
        <v>0</v>
      </c>
      <c r="F18" s="555"/>
      <c r="G18" s="547">
        <f>SUM(G16:H17)</f>
        <v>0</v>
      </c>
      <c r="H18" s="555"/>
      <c r="I18" s="547">
        <f>SUM(I16:J17)</f>
        <v>10680</v>
      </c>
      <c r="J18" s="548"/>
      <c r="K18" s="549">
        <f>SUM(C18:I18)</f>
        <v>1107683</v>
      </c>
      <c r="L18" s="550"/>
      <c r="Q18" s="551" t="str">
        <f t="shared" si="0"/>
        <v>YOUTH SERVICE TOTAL </v>
      </c>
      <c r="R18" s="552"/>
      <c r="S18" s="544"/>
      <c r="T18" s="545"/>
      <c r="U18" s="544"/>
      <c r="V18" s="545"/>
      <c r="W18" s="544"/>
      <c r="X18" s="545"/>
      <c r="Y18" s="544"/>
      <c r="Z18" s="546"/>
      <c r="AA18" s="544"/>
      <c r="AB18" s="546"/>
    </row>
    <row r="19" ht="12.75" thickTop="1"/>
  </sheetData>
  <mergeCells count="160">
    <mergeCell ref="X1:AB1"/>
    <mergeCell ref="Q1:W1"/>
    <mergeCell ref="A1:L1"/>
    <mergeCell ref="A2:L2"/>
    <mergeCell ref="A4:B4"/>
    <mergeCell ref="C4:D4"/>
    <mergeCell ref="E4:F4"/>
    <mergeCell ref="G4:H4"/>
    <mergeCell ref="I4:J4"/>
    <mergeCell ref="K4:L4"/>
    <mergeCell ref="Q4:R4"/>
    <mergeCell ref="S4:T4"/>
    <mergeCell ref="U4:V4"/>
    <mergeCell ref="W4:X4"/>
    <mergeCell ref="Y4:Z4"/>
    <mergeCell ref="AA4:AB4"/>
    <mergeCell ref="A5:B5"/>
    <mergeCell ref="C5:L5"/>
    <mergeCell ref="Q5:R5"/>
    <mergeCell ref="S5:AB5"/>
    <mergeCell ref="A6:B6"/>
    <mergeCell ref="C6:D6"/>
    <mergeCell ref="E6:F6"/>
    <mergeCell ref="G6:H6"/>
    <mergeCell ref="I6:J6"/>
    <mergeCell ref="K6:L6"/>
    <mergeCell ref="Q6:R6"/>
    <mergeCell ref="S6:T6"/>
    <mergeCell ref="U6:V6"/>
    <mergeCell ref="W6:X6"/>
    <mergeCell ref="Y6:Z6"/>
    <mergeCell ref="AA6:AB6"/>
    <mergeCell ref="A7:B7"/>
    <mergeCell ref="C7:D7"/>
    <mergeCell ref="E7:F7"/>
    <mergeCell ref="G7:H7"/>
    <mergeCell ref="I7:J7"/>
    <mergeCell ref="K7:L7"/>
    <mergeCell ref="Q7:R7"/>
    <mergeCell ref="S7:T7"/>
    <mergeCell ref="U7:V7"/>
    <mergeCell ref="W7:X7"/>
    <mergeCell ref="Y7:Z7"/>
    <mergeCell ref="AA7:AB7"/>
    <mergeCell ref="A8:B8"/>
    <mergeCell ref="C8:L8"/>
    <mergeCell ref="Q8:R8"/>
    <mergeCell ref="S8:AB8"/>
    <mergeCell ref="A9:B9"/>
    <mergeCell ref="C9:D9"/>
    <mergeCell ref="E9:F9"/>
    <mergeCell ref="G9:H9"/>
    <mergeCell ref="I9:J9"/>
    <mergeCell ref="K9:L9"/>
    <mergeCell ref="Q9:R9"/>
    <mergeCell ref="S9:T9"/>
    <mergeCell ref="U9:V9"/>
    <mergeCell ref="W9:X9"/>
    <mergeCell ref="Y9:Z9"/>
    <mergeCell ref="AA9:AB9"/>
    <mergeCell ref="A10:B10"/>
    <mergeCell ref="C10:D10"/>
    <mergeCell ref="E10:F10"/>
    <mergeCell ref="G10:H10"/>
    <mergeCell ref="I10:J10"/>
    <mergeCell ref="K10:L10"/>
    <mergeCell ref="Q10:R10"/>
    <mergeCell ref="S10:T10"/>
    <mergeCell ref="U10:V10"/>
    <mergeCell ref="W10:X10"/>
    <mergeCell ref="Y10:Z10"/>
    <mergeCell ref="AA10:AB10"/>
    <mergeCell ref="A11:B11"/>
    <mergeCell ref="C11:L11"/>
    <mergeCell ref="Q11:R11"/>
    <mergeCell ref="S11:AB11"/>
    <mergeCell ref="A12:B12"/>
    <mergeCell ref="C12:D12"/>
    <mergeCell ref="E12:F12"/>
    <mergeCell ref="G12:H12"/>
    <mergeCell ref="I12:J12"/>
    <mergeCell ref="K12:L12"/>
    <mergeCell ref="Q12:R12"/>
    <mergeCell ref="S12:T12"/>
    <mergeCell ref="U12:V12"/>
    <mergeCell ref="W12:X12"/>
    <mergeCell ref="Y12:Z12"/>
    <mergeCell ref="AA12:AB12"/>
    <mergeCell ref="A13:B13"/>
    <mergeCell ref="C13:D13"/>
    <mergeCell ref="E13:F13"/>
    <mergeCell ref="G13:H13"/>
    <mergeCell ref="I13:J13"/>
    <mergeCell ref="K13:L13"/>
    <mergeCell ref="Q13:R13"/>
    <mergeCell ref="S13:T13"/>
    <mergeCell ref="U13:V13"/>
    <mergeCell ref="W13:X13"/>
    <mergeCell ref="Y13:Z13"/>
    <mergeCell ref="AA13:AB13"/>
    <mergeCell ref="A14:B14"/>
    <mergeCell ref="C14:D14"/>
    <mergeCell ref="E14:F14"/>
    <mergeCell ref="G14:H14"/>
    <mergeCell ref="I14:J14"/>
    <mergeCell ref="K14:L14"/>
    <mergeCell ref="Q14:R14"/>
    <mergeCell ref="S14:T14"/>
    <mergeCell ref="U14:V14"/>
    <mergeCell ref="W14:X14"/>
    <mergeCell ref="Y14:Z14"/>
    <mergeCell ref="AA14:AB14"/>
    <mergeCell ref="A15:B15"/>
    <mergeCell ref="C15:D15"/>
    <mergeCell ref="E15:F15"/>
    <mergeCell ref="G15:H15"/>
    <mergeCell ref="I15:J15"/>
    <mergeCell ref="K15:L15"/>
    <mergeCell ref="Q15:R15"/>
    <mergeCell ref="S15:T15"/>
    <mergeCell ref="U15:V15"/>
    <mergeCell ref="W15:X15"/>
    <mergeCell ref="Y15:Z15"/>
    <mergeCell ref="AA15:AB15"/>
    <mergeCell ref="A16:B16"/>
    <mergeCell ref="C16:D16"/>
    <mergeCell ref="E16:F16"/>
    <mergeCell ref="G16:H16"/>
    <mergeCell ref="I16:J16"/>
    <mergeCell ref="K16:L16"/>
    <mergeCell ref="Q16:R16"/>
    <mergeCell ref="S16:T16"/>
    <mergeCell ref="U16:V16"/>
    <mergeCell ref="W16:X16"/>
    <mergeCell ref="Y16:Z16"/>
    <mergeCell ref="AA16:AB16"/>
    <mergeCell ref="A17:B17"/>
    <mergeCell ref="C17:D17"/>
    <mergeCell ref="E17:F17"/>
    <mergeCell ref="G17:H17"/>
    <mergeCell ref="I17:J17"/>
    <mergeCell ref="K17:L17"/>
    <mergeCell ref="Q17:R17"/>
    <mergeCell ref="S17:T17"/>
    <mergeCell ref="U17:V17"/>
    <mergeCell ref="W17:X17"/>
    <mergeCell ref="Y17:Z17"/>
    <mergeCell ref="AA17:AB17"/>
    <mergeCell ref="A18:B18"/>
    <mergeCell ref="C18:D18"/>
    <mergeCell ref="E18:F18"/>
    <mergeCell ref="G18:H18"/>
    <mergeCell ref="I18:J18"/>
    <mergeCell ref="K18:L18"/>
    <mergeCell ref="Q18:R18"/>
    <mergeCell ref="S18:T18"/>
    <mergeCell ref="U18:V18"/>
    <mergeCell ref="W18:X18"/>
    <mergeCell ref="Y18:Z18"/>
    <mergeCell ref="AA18:AB18"/>
  </mergeCells>
  <conditionalFormatting sqref="C6:H7 C9:H10 C12:H15 C17:H17 I16:L17">
    <cfRule type="expression" priority="1" dxfId="0" stopIfTrue="1">
      <formula>AND(LEFT(S6,1)="E",C6="")</formula>
    </cfRule>
    <cfRule type="expression" priority="2" dxfId="3" stopIfTrue="1">
      <formula>LEFT(S6,1)="W"</formula>
    </cfRule>
    <cfRule type="expression" priority="3" dxfId="1" stopIfTrue="1">
      <formula>LEFT(S6,1)="E"</formula>
    </cfRule>
  </conditionalFormatting>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B153"/>
  <sheetViews>
    <sheetView tabSelected="1" workbookViewId="0" topLeftCell="A1">
      <pane xSplit="3" ySplit="11" topLeftCell="D12" activePane="bottomRight" state="frozen"/>
      <selection pane="topLeft" activeCell="A1" sqref="A1"/>
      <selection pane="topRight" activeCell="D1" sqref="D1"/>
      <selection pane="bottomLeft" activeCell="A12" sqref="A12"/>
      <selection pane="bottomRight" activeCell="D12" sqref="D12"/>
    </sheetView>
  </sheetViews>
  <sheetFormatPr defaultColWidth="9.140625" defaultRowHeight="12"/>
  <cols>
    <col min="1" max="1" width="6.28125" style="1" bestFit="1" customWidth="1"/>
    <col min="2" max="2" width="25.8515625" style="1" customWidth="1"/>
    <col min="3" max="3" width="6.8515625" style="1" bestFit="1" customWidth="1"/>
    <col min="4" max="4" width="12.421875" style="1" customWidth="1"/>
    <col min="5" max="5" width="9.140625" style="1" customWidth="1"/>
    <col min="6" max="6" width="11.7109375" style="1" customWidth="1"/>
    <col min="7" max="7" width="9.7109375" style="1" bestFit="1" customWidth="1"/>
    <col min="8" max="8" width="8.7109375" style="1" bestFit="1" customWidth="1"/>
    <col min="9" max="9" width="13.140625" style="1" bestFit="1" customWidth="1"/>
    <col min="10" max="10" width="11.8515625" style="1" customWidth="1"/>
    <col min="11" max="11" width="10.00390625" style="1" bestFit="1" customWidth="1"/>
    <col min="12" max="12" width="9.421875" style="1" bestFit="1" customWidth="1"/>
    <col min="13" max="13" width="8.00390625" style="1" bestFit="1" customWidth="1"/>
    <col min="14" max="14" width="9.57421875" style="1" bestFit="1" customWidth="1"/>
    <col min="15" max="15" width="11.28125" style="1" customWidth="1"/>
    <col min="16" max="16" width="8.140625" style="1" bestFit="1" customWidth="1"/>
    <col min="17" max="17" width="15.00390625" style="1" customWidth="1"/>
    <col min="18" max="18" width="10.140625" style="1" bestFit="1" customWidth="1"/>
    <col min="19" max="19" width="11.57421875" style="1" bestFit="1" customWidth="1"/>
    <col min="20" max="20" width="10.421875" style="1" bestFit="1" customWidth="1"/>
    <col min="21" max="21" width="11.57421875" style="1" bestFit="1" customWidth="1"/>
    <col min="22" max="22" width="12.57421875" style="1" bestFit="1" customWidth="1"/>
    <col min="23" max="23" width="13.421875" style="1" bestFit="1" customWidth="1"/>
    <col min="24" max="24" width="11.140625" style="1" bestFit="1" customWidth="1"/>
    <col min="25" max="25" width="10.140625" style="1" bestFit="1" customWidth="1"/>
    <col min="26" max="26" width="8.421875" style="1" bestFit="1" customWidth="1"/>
    <col min="27" max="27" width="8.140625" style="1" bestFit="1" customWidth="1"/>
    <col min="28" max="28" width="8.7109375" style="1" bestFit="1" customWidth="1"/>
    <col min="29" max="16384" width="9.140625" style="1" customWidth="1"/>
  </cols>
  <sheetData>
    <row r="1" spans="2:18" ht="13.5" thickBot="1">
      <c r="B1" s="397" t="str">
        <f>+SBST!A1</f>
        <v>SOLIHULL SECTION 52 EDUCATION BUDGET STATEMENT 2006-07 Version 3 Published 3 August 2006</v>
      </c>
      <c r="C1" s="53"/>
      <c r="D1" s="53"/>
      <c r="E1" s="424"/>
      <c r="F1" s="53"/>
      <c r="G1" s="53"/>
      <c r="H1" s="53"/>
      <c r="I1" s="398"/>
      <c r="J1" s="416"/>
      <c r="K1" s="416"/>
      <c r="L1" s="416"/>
      <c r="M1" s="416"/>
      <c r="N1" s="3"/>
      <c r="O1" s="3"/>
      <c r="P1" s="3"/>
      <c r="Q1" s="3"/>
      <c r="R1" s="3"/>
    </row>
    <row r="2" spans="2:14" ht="13.5" thickBot="1">
      <c r="B2" s="397" t="s">
        <v>378</v>
      </c>
      <c r="C2" s="425"/>
      <c r="E2" s="80"/>
      <c r="F2" s="80"/>
      <c r="G2" s="80"/>
      <c r="H2" s="80"/>
      <c r="I2" s="80"/>
      <c r="J2" s="80"/>
      <c r="K2" s="80"/>
      <c r="L2" s="80"/>
      <c r="M2" s="80"/>
      <c r="N2" s="80"/>
    </row>
    <row r="3" spans="2:28" ht="12.75" customHeight="1">
      <c r="B3" s="653" t="s">
        <v>379</v>
      </c>
      <c r="C3" s="654"/>
      <c r="D3" s="657" t="s">
        <v>380</v>
      </c>
      <c r="E3" s="659" t="s">
        <v>381</v>
      </c>
      <c r="F3" s="692" t="s">
        <v>382</v>
      </c>
      <c r="G3" s="688" t="s">
        <v>383</v>
      </c>
      <c r="H3" s="622" t="s">
        <v>384</v>
      </c>
      <c r="I3" s="690" t="s">
        <v>385</v>
      </c>
      <c r="J3" s="625" t="s">
        <v>386</v>
      </c>
      <c r="K3" s="630" t="s">
        <v>387</v>
      </c>
      <c r="L3" s="632" t="s">
        <v>388</v>
      </c>
      <c r="M3" s="634" t="s">
        <v>389</v>
      </c>
      <c r="N3" s="636" t="s">
        <v>390</v>
      </c>
      <c r="O3" s="637"/>
      <c r="P3" s="638"/>
      <c r="Q3" s="615" t="s">
        <v>391</v>
      </c>
      <c r="R3" s="627" t="s">
        <v>392</v>
      </c>
      <c r="S3" s="628"/>
      <c r="T3" s="628"/>
      <c r="U3" s="628"/>
      <c r="V3" s="628"/>
      <c r="W3" s="628"/>
      <c r="X3" s="628"/>
      <c r="Y3" s="628"/>
      <c r="Z3" s="628"/>
      <c r="AA3" s="628"/>
      <c r="AB3" s="629"/>
    </row>
    <row r="4" spans="2:28" ht="12.75" customHeight="1">
      <c r="B4" s="653"/>
      <c r="C4" s="654"/>
      <c r="D4" s="658"/>
      <c r="E4" s="660"/>
      <c r="F4" s="693"/>
      <c r="G4" s="689"/>
      <c r="H4" s="623"/>
      <c r="I4" s="691"/>
      <c r="J4" s="626"/>
      <c r="K4" s="631"/>
      <c r="L4" s="633"/>
      <c r="M4" s="635"/>
      <c r="N4" s="639"/>
      <c r="O4" s="640"/>
      <c r="P4" s="641"/>
      <c r="Q4" s="687"/>
      <c r="R4" s="627" t="s">
        <v>393</v>
      </c>
      <c r="S4" s="628"/>
      <c r="T4" s="628"/>
      <c r="U4" s="628"/>
      <c r="V4" s="628"/>
      <c r="W4" s="629"/>
      <c r="X4" s="628" t="s">
        <v>394</v>
      </c>
      <c r="Y4" s="628"/>
      <c r="Z4" s="628"/>
      <c r="AA4" s="628"/>
      <c r="AB4" s="629"/>
    </row>
    <row r="5" spans="2:28" ht="12.75" customHeight="1">
      <c r="B5" s="653"/>
      <c r="C5" s="654"/>
      <c r="D5" s="658"/>
      <c r="E5" s="660"/>
      <c r="F5" s="693"/>
      <c r="G5" s="689"/>
      <c r="H5" s="623"/>
      <c r="I5" s="691"/>
      <c r="J5" s="626"/>
      <c r="K5" s="631"/>
      <c r="L5" s="633"/>
      <c r="M5" s="635"/>
      <c r="N5" s="639"/>
      <c r="O5" s="640"/>
      <c r="P5" s="641"/>
      <c r="Q5" s="687"/>
      <c r="R5" s="642" t="s">
        <v>395</v>
      </c>
      <c r="S5" s="642" t="s">
        <v>396</v>
      </c>
      <c r="T5" s="642" t="s">
        <v>397</v>
      </c>
      <c r="U5" s="642" t="s">
        <v>398</v>
      </c>
      <c r="V5" s="642" t="s">
        <v>399</v>
      </c>
      <c r="W5" s="642" t="s">
        <v>400</v>
      </c>
      <c r="X5" s="642" t="s">
        <v>401</v>
      </c>
      <c r="Y5" s="642" t="s">
        <v>402</v>
      </c>
      <c r="Z5" s="642" t="s">
        <v>403</v>
      </c>
      <c r="AA5" s="642" t="s">
        <v>404</v>
      </c>
      <c r="AB5" s="642" t="s">
        <v>405</v>
      </c>
    </row>
    <row r="6" spans="2:28" ht="12.75" customHeight="1">
      <c r="B6" s="653"/>
      <c r="C6" s="654"/>
      <c r="D6" s="658"/>
      <c r="E6" s="660"/>
      <c r="F6" s="693"/>
      <c r="G6" s="689"/>
      <c r="H6" s="623"/>
      <c r="I6" s="691"/>
      <c r="J6" s="626"/>
      <c r="K6" s="631"/>
      <c r="L6" s="633"/>
      <c r="M6" s="635"/>
      <c r="N6" s="639"/>
      <c r="O6" s="640"/>
      <c r="P6" s="641"/>
      <c r="Q6" s="687"/>
      <c r="R6" s="643"/>
      <c r="S6" s="643"/>
      <c r="T6" s="643"/>
      <c r="U6" s="643"/>
      <c r="V6" s="643"/>
      <c r="W6" s="643"/>
      <c r="X6" s="643"/>
      <c r="Y6" s="643"/>
      <c r="Z6" s="643"/>
      <c r="AA6" s="643"/>
      <c r="AB6" s="643"/>
    </row>
    <row r="7" spans="2:28" ht="12.75" customHeight="1">
      <c r="B7" s="653"/>
      <c r="C7" s="654"/>
      <c r="D7" s="658"/>
      <c r="E7" s="660"/>
      <c r="F7" s="693"/>
      <c r="G7" s="689"/>
      <c r="H7" s="623"/>
      <c r="I7" s="691"/>
      <c r="J7" s="626"/>
      <c r="K7" s="631"/>
      <c r="L7" s="633"/>
      <c r="M7" s="635"/>
      <c r="N7" s="639"/>
      <c r="O7" s="640"/>
      <c r="P7" s="641"/>
      <c r="Q7" s="687"/>
      <c r="R7" s="643"/>
      <c r="S7" s="643"/>
      <c r="T7" s="643"/>
      <c r="U7" s="643"/>
      <c r="V7" s="643"/>
      <c r="W7" s="643"/>
      <c r="X7" s="643"/>
      <c r="Y7" s="643"/>
      <c r="Z7" s="643"/>
      <c r="AA7" s="643"/>
      <c r="AB7" s="643"/>
    </row>
    <row r="8" spans="2:28" ht="12.75" customHeight="1">
      <c r="B8" s="653"/>
      <c r="C8" s="654"/>
      <c r="D8" s="658"/>
      <c r="E8" s="660"/>
      <c r="F8" s="693"/>
      <c r="G8" s="689"/>
      <c r="H8" s="623"/>
      <c r="I8" s="691"/>
      <c r="J8" s="626"/>
      <c r="K8" s="631"/>
      <c r="L8" s="633"/>
      <c r="M8" s="635"/>
      <c r="N8" s="639"/>
      <c r="O8" s="640"/>
      <c r="P8" s="641"/>
      <c r="Q8" s="687"/>
      <c r="R8" s="643"/>
      <c r="S8" s="643"/>
      <c r="T8" s="643"/>
      <c r="U8" s="643"/>
      <c r="V8" s="643"/>
      <c r="W8" s="643"/>
      <c r="X8" s="643"/>
      <c r="Y8" s="643"/>
      <c r="Z8" s="643"/>
      <c r="AA8" s="643"/>
      <c r="AB8" s="643"/>
    </row>
    <row r="9" spans="2:28" ht="12.75" customHeight="1">
      <c r="B9" s="655"/>
      <c r="C9" s="656"/>
      <c r="D9" s="658"/>
      <c r="E9" s="660"/>
      <c r="F9" s="693"/>
      <c r="G9" s="689"/>
      <c r="H9" s="623"/>
      <c r="I9" s="691"/>
      <c r="J9" s="626"/>
      <c r="K9" s="631"/>
      <c r="L9" s="633"/>
      <c r="M9" s="635"/>
      <c r="N9" s="639"/>
      <c r="O9" s="640"/>
      <c r="P9" s="641"/>
      <c r="Q9" s="687"/>
      <c r="R9" s="644"/>
      <c r="S9" s="644"/>
      <c r="T9" s="644"/>
      <c r="U9" s="644"/>
      <c r="V9" s="644"/>
      <c r="W9" s="644"/>
      <c r="X9" s="644"/>
      <c r="Y9" s="644"/>
      <c r="Z9" s="644"/>
      <c r="AA9" s="644"/>
      <c r="AB9" s="644"/>
    </row>
    <row r="10" spans="2:28" ht="12">
      <c r="B10" s="615" t="s">
        <v>406</v>
      </c>
      <c r="C10" s="615" t="s">
        <v>407</v>
      </c>
      <c r="D10" s="683" t="s">
        <v>408</v>
      </c>
      <c r="E10" s="685" t="s">
        <v>408</v>
      </c>
      <c r="F10" s="675" t="s">
        <v>408</v>
      </c>
      <c r="G10" s="677" t="s">
        <v>408</v>
      </c>
      <c r="H10" s="679" t="s">
        <v>408</v>
      </c>
      <c r="I10" s="681" t="s">
        <v>408</v>
      </c>
      <c r="J10" s="667" t="s">
        <v>408</v>
      </c>
      <c r="K10" s="669" t="s">
        <v>408</v>
      </c>
      <c r="L10" s="671" t="s">
        <v>408</v>
      </c>
      <c r="M10" s="673" t="s">
        <v>408</v>
      </c>
      <c r="N10" s="614" t="s">
        <v>408</v>
      </c>
      <c r="O10" s="615" t="s">
        <v>409</v>
      </c>
      <c r="P10" s="615" t="s">
        <v>410</v>
      </c>
      <c r="Q10" s="687"/>
      <c r="R10" s="612" t="s">
        <v>408</v>
      </c>
      <c r="S10" s="612" t="s">
        <v>408</v>
      </c>
      <c r="T10" s="612" t="s">
        <v>408</v>
      </c>
      <c r="U10" s="612" t="s">
        <v>408</v>
      </c>
      <c r="V10" s="612" t="s">
        <v>408</v>
      </c>
      <c r="W10" s="612" t="s">
        <v>408</v>
      </c>
      <c r="X10" s="612" t="s">
        <v>408</v>
      </c>
      <c r="Y10" s="612" t="s">
        <v>408</v>
      </c>
      <c r="Z10" s="612" t="s">
        <v>408</v>
      </c>
      <c r="AA10" s="612" t="s">
        <v>411</v>
      </c>
      <c r="AB10" s="612" t="s">
        <v>412</v>
      </c>
    </row>
    <row r="11" spans="2:28" ht="21.75" customHeight="1">
      <c r="B11" s="616"/>
      <c r="C11" s="616"/>
      <c r="D11" s="684"/>
      <c r="E11" s="686"/>
      <c r="F11" s="676"/>
      <c r="G11" s="678"/>
      <c r="H11" s="680"/>
      <c r="I11" s="682"/>
      <c r="J11" s="668"/>
      <c r="K11" s="670"/>
      <c r="L11" s="672"/>
      <c r="M11" s="674"/>
      <c r="N11" s="613"/>
      <c r="O11" s="616"/>
      <c r="P11" s="616"/>
      <c r="Q11" s="616"/>
      <c r="R11" s="613"/>
      <c r="S11" s="613"/>
      <c r="T11" s="613"/>
      <c r="U11" s="613"/>
      <c r="V11" s="613"/>
      <c r="W11" s="613"/>
      <c r="X11" s="613"/>
      <c r="Y11" s="613"/>
      <c r="Z11" s="613"/>
      <c r="AA11" s="613"/>
      <c r="AB11" s="613"/>
    </row>
    <row r="12" spans="2:3" ht="12">
      <c r="B12" s="666" t="s">
        <v>414</v>
      </c>
      <c r="C12" s="666"/>
    </row>
    <row r="13" spans="1:28" ht="12">
      <c r="A13" s="41">
        <v>1</v>
      </c>
      <c r="B13" s="97" t="s">
        <v>444</v>
      </c>
      <c r="C13" s="41">
        <v>2064</v>
      </c>
      <c r="D13" s="13">
        <v>402698.93</v>
      </c>
      <c r="E13" s="13">
        <v>46932</v>
      </c>
      <c r="F13" s="20"/>
      <c r="G13" s="13">
        <v>49168</v>
      </c>
      <c r="H13" s="13">
        <v>0</v>
      </c>
      <c r="I13" s="13">
        <v>0</v>
      </c>
      <c r="J13" s="13">
        <v>48757</v>
      </c>
      <c r="K13" s="13">
        <v>104466</v>
      </c>
      <c r="L13" s="13">
        <v>0</v>
      </c>
      <c r="M13" s="13">
        <v>0</v>
      </c>
      <c r="N13" s="13">
        <f aca="true" t="shared" si="0" ref="N13:N76">SUM(D13:M13)</f>
        <v>652021.9299999999</v>
      </c>
      <c r="O13" s="13">
        <v>220</v>
      </c>
      <c r="P13" s="13">
        <f aca="true" t="shared" si="1" ref="P13:P76">IF(O13=0,0,IF(ISERROR(N13/O13),0,N13/O13))</f>
        <v>2963.736045454545</v>
      </c>
      <c r="Q13" s="12" t="s">
        <v>413</v>
      </c>
      <c r="R13" s="12">
        <v>40626</v>
      </c>
      <c r="S13" s="12">
        <v>90726</v>
      </c>
      <c r="T13" s="12">
        <v>0</v>
      </c>
      <c r="U13" s="12">
        <v>1179</v>
      </c>
      <c r="V13" s="12">
        <v>0</v>
      </c>
      <c r="W13" s="12">
        <v>0</v>
      </c>
      <c r="X13" s="12">
        <v>0</v>
      </c>
      <c r="Y13" s="12">
        <v>46973</v>
      </c>
      <c r="Z13" s="20"/>
      <c r="AA13" s="98"/>
      <c r="AB13" s="99"/>
    </row>
    <row r="14" spans="1:28" ht="12">
      <c r="A14" s="41">
        <v>2</v>
      </c>
      <c r="B14" s="97" t="s">
        <v>445</v>
      </c>
      <c r="C14" s="41">
        <v>2050</v>
      </c>
      <c r="D14" s="13">
        <v>1185042.43</v>
      </c>
      <c r="E14" s="13">
        <v>69329</v>
      </c>
      <c r="F14" s="20"/>
      <c r="G14" s="13">
        <v>69560</v>
      </c>
      <c r="H14" s="13">
        <v>0</v>
      </c>
      <c r="I14" s="13">
        <v>0</v>
      </c>
      <c r="J14" s="13">
        <v>90635</v>
      </c>
      <c r="K14" s="13">
        <v>98245</v>
      </c>
      <c r="L14" s="13">
        <v>0</v>
      </c>
      <c r="M14" s="13">
        <v>0</v>
      </c>
      <c r="N14" s="13">
        <f t="shared" si="0"/>
        <v>1512811.43</v>
      </c>
      <c r="O14" s="13">
        <v>630</v>
      </c>
      <c r="P14" s="13">
        <f t="shared" si="1"/>
        <v>2401.287984126984</v>
      </c>
      <c r="Q14" s="12" t="s">
        <v>413</v>
      </c>
      <c r="R14" s="12">
        <v>70554</v>
      </c>
      <c r="S14" s="12">
        <v>33126</v>
      </c>
      <c r="T14" s="12">
        <v>0</v>
      </c>
      <c r="U14" s="12">
        <v>1383</v>
      </c>
      <c r="V14" s="12">
        <v>0</v>
      </c>
      <c r="W14" s="12">
        <v>0</v>
      </c>
      <c r="X14" s="12">
        <v>0</v>
      </c>
      <c r="Y14" s="12">
        <v>106545</v>
      </c>
      <c r="Z14" s="20"/>
      <c r="AA14" s="98"/>
      <c r="AB14" s="99"/>
    </row>
    <row r="15" spans="1:28" ht="22.5">
      <c r="A15" s="41">
        <v>3</v>
      </c>
      <c r="B15" s="97" t="s">
        <v>446</v>
      </c>
      <c r="C15" s="41">
        <v>2062</v>
      </c>
      <c r="D15" s="13">
        <v>362738.86</v>
      </c>
      <c r="E15" s="13">
        <v>29866</v>
      </c>
      <c r="F15" s="20"/>
      <c r="G15" s="13">
        <v>60425</v>
      </c>
      <c r="H15" s="13">
        <v>0</v>
      </c>
      <c r="I15" s="13">
        <v>0</v>
      </c>
      <c r="J15" s="13">
        <v>43432</v>
      </c>
      <c r="K15" s="13">
        <v>109590</v>
      </c>
      <c r="L15" s="13">
        <v>0</v>
      </c>
      <c r="M15" s="13">
        <v>0</v>
      </c>
      <c r="N15" s="13">
        <f t="shared" si="0"/>
        <v>606051.86</v>
      </c>
      <c r="O15" s="13">
        <v>194</v>
      </c>
      <c r="P15" s="13">
        <f t="shared" si="1"/>
        <v>3123.9786597938146</v>
      </c>
      <c r="Q15" s="12" t="s">
        <v>413</v>
      </c>
      <c r="R15" s="12">
        <v>40244</v>
      </c>
      <c r="S15" s="12">
        <v>91464</v>
      </c>
      <c r="T15" s="12">
        <v>0</v>
      </c>
      <c r="U15" s="12">
        <v>1165</v>
      </c>
      <c r="V15" s="12">
        <v>0</v>
      </c>
      <c r="W15" s="12">
        <v>0</v>
      </c>
      <c r="X15" s="12">
        <v>0</v>
      </c>
      <c r="Y15" s="12">
        <v>60837</v>
      </c>
      <c r="Z15" s="20"/>
      <c r="AA15" s="98"/>
      <c r="AB15" s="99"/>
    </row>
    <row r="16" spans="1:28" ht="22.5">
      <c r="A16" s="41">
        <v>4</v>
      </c>
      <c r="B16" s="97" t="s">
        <v>447</v>
      </c>
      <c r="C16" s="41">
        <v>3011</v>
      </c>
      <c r="D16" s="13">
        <v>766568.73</v>
      </c>
      <c r="E16" s="13">
        <v>69330</v>
      </c>
      <c r="F16" s="20"/>
      <c r="G16" s="13">
        <v>54012</v>
      </c>
      <c r="H16" s="13">
        <v>0</v>
      </c>
      <c r="I16" s="13">
        <v>0</v>
      </c>
      <c r="J16" s="13">
        <v>49683</v>
      </c>
      <c r="K16" s="13">
        <v>91356</v>
      </c>
      <c r="L16" s="13">
        <v>0</v>
      </c>
      <c r="M16" s="13">
        <v>0</v>
      </c>
      <c r="N16" s="13">
        <f t="shared" si="0"/>
        <v>1030949.73</v>
      </c>
      <c r="O16" s="13">
        <v>412</v>
      </c>
      <c r="P16" s="13">
        <f t="shared" si="1"/>
        <v>2502.3051699029124</v>
      </c>
      <c r="Q16" s="12" t="s">
        <v>413</v>
      </c>
      <c r="R16" s="12">
        <v>49297</v>
      </c>
      <c r="S16" s="12">
        <v>21641</v>
      </c>
      <c r="T16" s="12">
        <v>0</v>
      </c>
      <c r="U16" s="12">
        <v>1276</v>
      </c>
      <c r="V16" s="12">
        <v>0</v>
      </c>
      <c r="W16" s="12">
        <v>0</v>
      </c>
      <c r="X16" s="12">
        <v>0</v>
      </c>
      <c r="Y16" s="12">
        <v>78373</v>
      </c>
      <c r="Z16" s="20"/>
      <c r="AA16" s="98"/>
      <c r="AB16" s="99"/>
    </row>
    <row r="17" spans="1:28" ht="22.5">
      <c r="A17" s="41">
        <v>5</v>
      </c>
      <c r="B17" s="97" t="s">
        <v>448</v>
      </c>
      <c r="C17" s="41">
        <v>3310</v>
      </c>
      <c r="D17" s="13">
        <v>390588.16</v>
      </c>
      <c r="E17" s="13">
        <v>33065</v>
      </c>
      <c r="F17" s="20"/>
      <c r="G17" s="13">
        <v>17911</v>
      </c>
      <c r="H17" s="13">
        <v>0</v>
      </c>
      <c r="I17" s="13">
        <v>0</v>
      </c>
      <c r="J17" s="13">
        <v>24249</v>
      </c>
      <c r="K17" s="13">
        <v>100087</v>
      </c>
      <c r="L17" s="13">
        <v>0</v>
      </c>
      <c r="M17" s="13">
        <v>0</v>
      </c>
      <c r="N17" s="13">
        <f t="shared" si="0"/>
        <v>565900.1599999999</v>
      </c>
      <c r="O17" s="13">
        <v>211</v>
      </c>
      <c r="P17" s="13">
        <f t="shared" si="1"/>
        <v>2681.9912796208528</v>
      </c>
      <c r="Q17" s="12" t="s">
        <v>413</v>
      </c>
      <c r="R17" s="12">
        <v>34818</v>
      </c>
      <c r="S17" s="12">
        <v>13382</v>
      </c>
      <c r="T17" s="12">
        <v>0</v>
      </c>
      <c r="U17" s="12">
        <v>1175</v>
      </c>
      <c r="V17" s="12">
        <v>0</v>
      </c>
      <c r="W17" s="12">
        <v>0</v>
      </c>
      <c r="X17" s="12">
        <v>0</v>
      </c>
      <c r="Y17" s="12">
        <v>30470</v>
      </c>
      <c r="Z17" s="20"/>
      <c r="AA17" s="98"/>
      <c r="AB17" s="99"/>
    </row>
    <row r="18" spans="1:28" ht="22.5">
      <c r="A18" s="41">
        <v>6</v>
      </c>
      <c r="B18" s="97" t="s">
        <v>449</v>
      </c>
      <c r="C18" s="41">
        <v>3512</v>
      </c>
      <c r="D18" s="13">
        <v>705836.79</v>
      </c>
      <c r="E18" s="13">
        <v>78930</v>
      </c>
      <c r="F18" s="20"/>
      <c r="G18" s="13">
        <v>96343</v>
      </c>
      <c r="H18" s="13">
        <v>0</v>
      </c>
      <c r="I18" s="13">
        <v>0</v>
      </c>
      <c r="J18" s="13">
        <v>52536</v>
      </c>
      <c r="K18" s="13">
        <v>93103</v>
      </c>
      <c r="L18" s="13">
        <v>0</v>
      </c>
      <c r="M18" s="13">
        <v>0</v>
      </c>
      <c r="N18" s="13">
        <f t="shared" si="0"/>
        <v>1026748.79</v>
      </c>
      <c r="O18" s="13">
        <v>396</v>
      </c>
      <c r="P18" s="13">
        <f t="shared" si="1"/>
        <v>2592.799974747475</v>
      </c>
      <c r="Q18" s="12" t="s">
        <v>413</v>
      </c>
      <c r="R18" s="12">
        <v>58408</v>
      </c>
      <c r="S18" s="12">
        <v>149804</v>
      </c>
      <c r="T18" s="12">
        <v>0</v>
      </c>
      <c r="U18" s="12">
        <v>1266</v>
      </c>
      <c r="V18" s="12">
        <v>0</v>
      </c>
      <c r="W18" s="12">
        <v>0</v>
      </c>
      <c r="X18" s="12">
        <v>0</v>
      </c>
      <c r="Y18" s="12">
        <v>101347</v>
      </c>
      <c r="Z18" s="20"/>
      <c r="AA18" s="98"/>
      <c r="AB18" s="99"/>
    </row>
    <row r="19" spans="1:28" ht="22.5">
      <c r="A19" s="41">
        <v>7</v>
      </c>
      <c r="B19" s="97" t="s">
        <v>450</v>
      </c>
      <c r="C19" s="41">
        <v>2000</v>
      </c>
      <c r="D19" s="13">
        <v>366468.52</v>
      </c>
      <c r="E19" s="13">
        <v>53331</v>
      </c>
      <c r="F19" s="20"/>
      <c r="G19" s="13">
        <v>10817</v>
      </c>
      <c r="H19" s="13">
        <v>0</v>
      </c>
      <c r="I19" s="13">
        <v>0</v>
      </c>
      <c r="J19" s="13">
        <v>29408</v>
      </c>
      <c r="K19" s="13">
        <v>76379</v>
      </c>
      <c r="L19" s="13">
        <v>0</v>
      </c>
      <c r="M19" s="13">
        <v>0</v>
      </c>
      <c r="N19" s="13">
        <f t="shared" si="0"/>
        <v>536403.52</v>
      </c>
      <c r="O19" s="13">
        <v>196</v>
      </c>
      <c r="P19" s="13">
        <f t="shared" si="1"/>
        <v>2736.7526530612245</v>
      </c>
      <c r="Q19" s="12" t="s">
        <v>413</v>
      </c>
      <c r="R19" s="12">
        <v>34800</v>
      </c>
      <c r="S19" s="12">
        <v>19179</v>
      </c>
      <c r="T19" s="12">
        <v>0</v>
      </c>
      <c r="U19" s="12">
        <v>1166</v>
      </c>
      <c r="V19" s="12">
        <v>0</v>
      </c>
      <c r="W19" s="12">
        <v>0</v>
      </c>
      <c r="X19" s="12">
        <v>0</v>
      </c>
      <c r="Y19" s="12">
        <v>22604</v>
      </c>
      <c r="Z19" s="20"/>
      <c r="AA19" s="98"/>
      <c r="AB19" s="99"/>
    </row>
    <row r="20" spans="1:28" ht="12">
      <c r="A20" s="41">
        <v>8</v>
      </c>
      <c r="B20" s="97" t="s">
        <v>451</v>
      </c>
      <c r="C20" s="41">
        <v>2094</v>
      </c>
      <c r="D20" s="13">
        <v>662939.78</v>
      </c>
      <c r="E20" s="13">
        <v>50131</v>
      </c>
      <c r="F20" s="20"/>
      <c r="G20" s="13">
        <v>71513</v>
      </c>
      <c r="H20" s="13">
        <v>0</v>
      </c>
      <c r="I20" s="13">
        <v>0</v>
      </c>
      <c r="J20" s="13">
        <v>63639</v>
      </c>
      <c r="K20" s="13">
        <v>87235</v>
      </c>
      <c r="L20" s="13">
        <v>0</v>
      </c>
      <c r="M20" s="13">
        <v>0</v>
      </c>
      <c r="N20" s="13">
        <f t="shared" si="0"/>
        <v>935457.78</v>
      </c>
      <c r="O20" s="13">
        <v>352</v>
      </c>
      <c r="P20" s="13">
        <f t="shared" si="1"/>
        <v>2657.5505113636364</v>
      </c>
      <c r="Q20" s="12" t="s">
        <v>413</v>
      </c>
      <c r="R20" s="12">
        <v>50232</v>
      </c>
      <c r="S20" s="12">
        <v>159528</v>
      </c>
      <c r="T20" s="12">
        <v>0</v>
      </c>
      <c r="U20" s="12">
        <v>1246</v>
      </c>
      <c r="V20" s="12">
        <v>0</v>
      </c>
      <c r="W20" s="12">
        <v>0</v>
      </c>
      <c r="X20" s="12">
        <v>0</v>
      </c>
      <c r="Y20" s="12">
        <v>74371</v>
      </c>
      <c r="Z20" s="20"/>
      <c r="AA20" s="98"/>
      <c r="AB20" s="99"/>
    </row>
    <row r="21" spans="1:28" ht="12">
      <c r="A21" s="41">
        <v>9</v>
      </c>
      <c r="B21" s="97" t="s">
        <v>452</v>
      </c>
      <c r="C21" s="41">
        <v>2001</v>
      </c>
      <c r="D21" s="13">
        <v>377187.9</v>
      </c>
      <c r="E21" s="13">
        <v>66129</v>
      </c>
      <c r="F21" s="20"/>
      <c r="G21" s="13">
        <v>16142</v>
      </c>
      <c r="H21" s="13">
        <v>0</v>
      </c>
      <c r="I21" s="13">
        <v>0</v>
      </c>
      <c r="J21" s="13">
        <v>36206</v>
      </c>
      <c r="K21" s="13">
        <v>78152</v>
      </c>
      <c r="L21" s="13">
        <v>0</v>
      </c>
      <c r="M21" s="13">
        <v>0</v>
      </c>
      <c r="N21" s="13">
        <f t="shared" si="0"/>
        <v>573816.9</v>
      </c>
      <c r="O21" s="13">
        <v>208</v>
      </c>
      <c r="P21" s="13">
        <f t="shared" si="1"/>
        <v>2758.7350961538464</v>
      </c>
      <c r="Q21" s="12" t="s">
        <v>413</v>
      </c>
      <c r="R21" s="12">
        <v>35084</v>
      </c>
      <c r="S21" s="12">
        <v>15129</v>
      </c>
      <c r="T21" s="12">
        <v>0</v>
      </c>
      <c r="U21" s="12">
        <v>1174</v>
      </c>
      <c r="V21" s="12">
        <v>0</v>
      </c>
      <c r="W21" s="12">
        <v>0</v>
      </c>
      <c r="X21" s="12">
        <v>0</v>
      </c>
      <c r="Y21" s="12">
        <v>28073</v>
      </c>
      <c r="Z21" s="20"/>
      <c r="AA21" s="98"/>
      <c r="AB21" s="99"/>
    </row>
    <row r="22" spans="1:28" ht="12">
      <c r="A22" s="41">
        <v>10</v>
      </c>
      <c r="B22" s="97" t="s">
        <v>453</v>
      </c>
      <c r="C22" s="41">
        <v>2060</v>
      </c>
      <c r="D22" s="13">
        <v>720414.76</v>
      </c>
      <c r="E22" s="13">
        <v>105595</v>
      </c>
      <c r="F22" s="20"/>
      <c r="G22" s="13">
        <v>45414</v>
      </c>
      <c r="H22" s="13">
        <v>0</v>
      </c>
      <c r="I22" s="13">
        <v>0</v>
      </c>
      <c r="J22" s="13">
        <v>45932</v>
      </c>
      <c r="K22" s="13">
        <v>85473</v>
      </c>
      <c r="L22" s="13">
        <v>0</v>
      </c>
      <c r="M22" s="13">
        <v>2155</v>
      </c>
      <c r="N22" s="13">
        <f t="shared" si="0"/>
        <v>1004983.76</v>
      </c>
      <c r="O22" s="13">
        <v>385</v>
      </c>
      <c r="P22" s="13">
        <f t="shared" si="1"/>
        <v>2610.3474285714287</v>
      </c>
      <c r="Q22" s="12" t="s">
        <v>413</v>
      </c>
      <c r="R22" s="12">
        <v>44880</v>
      </c>
      <c r="S22" s="12">
        <v>49280</v>
      </c>
      <c r="T22" s="12">
        <v>0</v>
      </c>
      <c r="U22" s="12">
        <v>1263</v>
      </c>
      <c r="V22" s="12">
        <v>0</v>
      </c>
      <c r="W22" s="12">
        <v>0</v>
      </c>
      <c r="X22" s="12">
        <v>0</v>
      </c>
      <c r="Y22" s="12">
        <v>62010</v>
      </c>
      <c r="Z22" s="20"/>
      <c r="AA22" s="98"/>
      <c r="AB22" s="99"/>
    </row>
    <row r="23" spans="1:28" ht="12">
      <c r="A23" s="41">
        <v>11</v>
      </c>
      <c r="B23" s="97" t="s">
        <v>454</v>
      </c>
      <c r="C23" s="41">
        <v>2059</v>
      </c>
      <c r="D23" s="13">
        <v>878318.14</v>
      </c>
      <c r="E23" s="13">
        <v>0</v>
      </c>
      <c r="F23" s="20"/>
      <c r="G23" s="13">
        <v>75320</v>
      </c>
      <c r="H23" s="13">
        <v>0</v>
      </c>
      <c r="I23" s="13">
        <v>0</v>
      </c>
      <c r="J23" s="13">
        <v>69561</v>
      </c>
      <c r="K23" s="13">
        <v>86826</v>
      </c>
      <c r="L23" s="13">
        <v>0</v>
      </c>
      <c r="M23" s="13">
        <v>0</v>
      </c>
      <c r="N23" s="13">
        <f t="shared" si="0"/>
        <v>1110025.1400000001</v>
      </c>
      <c r="O23" s="13">
        <v>466</v>
      </c>
      <c r="P23" s="13">
        <f t="shared" si="1"/>
        <v>2382.028197424893</v>
      </c>
      <c r="Q23" s="12" t="s">
        <v>413</v>
      </c>
      <c r="R23" s="12">
        <v>54472</v>
      </c>
      <c r="S23" s="12">
        <v>40076</v>
      </c>
      <c r="T23" s="12">
        <v>0</v>
      </c>
      <c r="U23" s="12">
        <v>1303</v>
      </c>
      <c r="V23" s="12">
        <v>0</v>
      </c>
      <c r="W23" s="12">
        <v>0</v>
      </c>
      <c r="X23" s="12">
        <v>0</v>
      </c>
      <c r="Y23" s="12">
        <v>95659</v>
      </c>
      <c r="Z23" s="20"/>
      <c r="AA23" s="98"/>
      <c r="AB23" s="99"/>
    </row>
    <row r="24" spans="1:28" ht="12">
      <c r="A24" s="41">
        <v>12</v>
      </c>
      <c r="B24" s="97" t="s">
        <v>455</v>
      </c>
      <c r="C24" s="41">
        <v>2087</v>
      </c>
      <c r="D24" s="13">
        <v>487003.02</v>
      </c>
      <c r="E24" s="13">
        <v>0</v>
      </c>
      <c r="F24" s="20"/>
      <c r="G24" s="13">
        <v>34057</v>
      </c>
      <c r="H24" s="13">
        <v>0</v>
      </c>
      <c r="I24" s="13">
        <v>0</v>
      </c>
      <c r="J24" s="13">
        <v>43258</v>
      </c>
      <c r="K24" s="13">
        <v>80142</v>
      </c>
      <c r="L24" s="13">
        <v>0</v>
      </c>
      <c r="M24" s="13">
        <v>9402</v>
      </c>
      <c r="N24" s="13">
        <f t="shared" si="0"/>
        <v>653862.02</v>
      </c>
      <c r="O24" s="13">
        <v>258</v>
      </c>
      <c r="P24" s="13">
        <f t="shared" si="1"/>
        <v>2534.3489147286823</v>
      </c>
      <c r="Q24" s="12" t="s">
        <v>415</v>
      </c>
      <c r="R24" s="12">
        <v>35380</v>
      </c>
      <c r="S24" s="12">
        <v>26948</v>
      </c>
      <c r="T24" s="12">
        <v>0</v>
      </c>
      <c r="U24" s="12">
        <v>1199</v>
      </c>
      <c r="V24" s="12">
        <v>0</v>
      </c>
      <c r="W24" s="12">
        <v>0</v>
      </c>
      <c r="X24" s="12">
        <v>0</v>
      </c>
      <c r="Y24" s="12">
        <v>44795</v>
      </c>
      <c r="Z24" s="20"/>
      <c r="AA24" s="98"/>
      <c r="AB24" s="99"/>
    </row>
    <row r="25" spans="1:28" ht="12">
      <c r="A25" s="41">
        <v>13</v>
      </c>
      <c r="B25" s="97" t="s">
        <v>456</v>
      </c>
      <c r="C25" s="41">
        <v>2082</v>
      </c>
      <c r="D25" s="13">
        <v>355263.43</v>
      </c>
      <c r="E25" s="13">
        <v>37333</v>
      </c>
      <c r="F25" s="20"/>
      <c r="G25" s="13">
        <v>18135</v>
      </c>
      <c r="H25" s="13">
        <v>0</v>
      </c>
      <c r="I25" s="13">
        <v>0</v>
      </c>
      <c r="J25" s="13">
        <v>39012</v>
      </c>
      <c r="K25" s="13">
        <v>107082</v>
      </c>
      <c r="L25" s="13">
        <v>0</v>
      </c>
      <c r="M25" s="13">
        <v>0</v>
      </c>
      <c r="N25" s="13">
        <f t="shared" si="0"/>
        <v>556825.4299999999</v>
      </c>
      <c r="O25" s="13">
        <v>191</v>
      </c>
      <c r="P25" s="13">
        <f t="shared" si="1"/>
        <v>2915.3163874345546</v>
      </c>
      <c r="Q25" s="12" t="s">
        <v>413</v>
      </c>
      <c r="R25" s="12">
        <v>35768</v>
      </c>
      <c r="S25" s="12">
        <v>14154</v>
      </c>
      <c r="T25" s="12">
        <v>0</v>
      </c>
      <c r="U25" s="12">
        <v>1165</v>
      </c>
      <c r="V25" s="12">
        <v>0</v>
      </c>
      <c r="W25" s="12">
        <v>0</v>
      </c>
      <c r="X25" s="12">
        <v>0</v>
      </c>
      <c r="Y25" s="12">
        <v>28855</v>
      </c>
      <c r="Z25" s="20"/>
      <c r="AA25" s="98"/>
      <c r="AB25" s="99"/>
    </row>
    <row r="26" spans="1:28" ht="12">
      <c r="A26" s="41">
        <v>14</v>
      </c>
      <c r="B26" s="97" t="s">
        <v>457</v>
      </c>
      <c r="C26" s="41">
        <v>2065</v>
      </c>
      <c r="D26" s="13">
        <v>687132.14</v>
      </c>
      <c r="E26" s="13">
        <v>85331</v>
      </c>
      <c r="F26" s="20"/>
      <c r="G26" s="13">
        <v>97820</v>
      </c>
      <c r="H26" s="13">
        <v>0</v>
      </c>
      <c r="I26" s="13">
        <v>0</v>
      </c>
      <c r="J26" s="13">
        <v>72811</v>
      </c>
      <c r="K26" s="13">
        <v>87212</v>
      </c>
      <c r="L26" s="13">
        <v>0</v>
      </c>
      <c r="M26" s="13">
        <v>0</v>
      </c>
      <c r="N26" s="13">
        <f t="shared" si="0"/>
        <v>1030306.14</v>
      </c>
      <c r="O26" s="13">
        <v>372</v>
      </c>
      <c r="P26" s="13">
        <f t="shared" si="1"/>
        <v>2769.640161290323</v>
      </c>
      <c r="Q26" s="12" t="s">
        <v>413</v>
      </c>
      <c r="R26" s="12">
        <v>55284</v>
      </c>
      <c r="S26" s="12">
        <v>131976</v>
      </c>
      <c r="T26" s="12">
        <v>0</v>
      </c>
      <c r="U26" s="12">
        <v>1254</v>
      </c>
      <c r="V26" s="12">
        <v>0</v>
      </c>
      <c r="W26" s="12">
        <v>0</v>
      </c>
      <c r="X26" s="12">
        <v>0</v>
      </c>
      <c r="Y26" s="12">
        <v>102457</v>
      </c>
      <c r="Z26" s="20"/>
      <c r="AA26" s="98"/>
      <c r="AB26" s="99"/>
    </row>
    <row r="27" spans="1:28" ht="12">
      <c r="A27" s="41">
        <v>15</v>
      </c>
      <c r="B27" s="97" t="s">
        <v>458</v>
      </c>
      <c r="C27" s="41">
        <v>2004</v>
      </c>
      <c r="D27" s="13">
        <v>510844.39</v>
      </c>
      <c r="E27" s="13">
        <v>0</v>
      </c>
      <c r="F27" s="20"/>
      <c r="G27" s="13">
        <v>21737</v>
      </c>
      <c r="H27" s="13">
        <v>0</v>
      </c>
      <c r="I27" s="13">
        <v>0</v>
      </c>
      <c r="J27" s="13">
        <v>46153</v>
      </c>
      <c r="K27" s="13">
        <v>79042</v>
      </c>
      <c r="L27" s="13">
        <v>0</v>
      </c>
      <c r="M27" s="13">
        <v>0</v>
      </c>
      <c r="N27" s="13">
        <f t="shared" si="0"/>
        <v>657776.39</v>
      </c>
      <c r="O27" s="13">
        <v>271</v>
      </c>
      <c r="P27" s="13">
        <f t="shared" si="1"/>
        <v>2427.219151291513</v>
      </c>
      <c r="Q27" s="12" t="s">
        <v>413</v>
      </c>
      <c r="R27" s="12">
        <v>37383</v>
      </c>
      <c r="S27" s="12">
        <v>17070</v>
      </c>
      <c r="T27" s="12">
        <v>0</v>
      </c>
      <c r="U27" s="12">
        <v>1206</v>
      </c>
      <c r="V27" s="12">
        <v>0</v>
      </c>
      <c r="W27" s="12">
        <v>0</v>
      </c>
      <c r="X27" s="12">
        <v>0</v>
      </c>
      <c r="Y27" s="12">
        <v>36233</v>
      </c>
      <c r="Z27" s="20"/>
      <c r="AA27" s="98"/>
      <c r="AB27" s="99"/>
    </row>
    <row r="28" spans="1:28" ht="12">
      <c r="A28" s="41">
        <v>16</v>
      </c>
      <c r="B28" s="97" t="s">
        <v>459</v>
      </c>
      <c r="C28" s="41">
        <v>2005</v>
      </c>
      <c r="D28" s="13">
        <v>288494.04</v>
      </c>
      <c r="E28" s="13">
        <v>81064</v>
      </c>
      <c r="F28" s="20"/>
      <c r="G28" s="13">
        <v>10971</v>
      </c>
      <c r="H28" s="13">
        <v>0</v>
      </c>
      <c r="I28" s="13">
        <v>0</v>
      </c>
      <c r="J28" s="13">
        <v>36204</v>
      </c>
      <c r="K28" s="13">
        <v>100314</v>
      </c>
      <c r="L28" s="13">
        <v>0</v>
      </c>
      <c r="M28" s="13">
        <v>0</v>
      </c>
      <c r="N28" s="13">
        <f t="shared" si="0"/>
        <v>517047.04</v>
      </c>
      <c r="O28" s="13">
        <v>158</v>
      </c>
      <c r="P28" s="13">
        <f t="shared" si="1"/>
        <v>3272.4496202531645</v>
      </c>
      <c r="Q28" s="12" t="s">
        <v>413</v>
      </c>
      <c r="R28" s="12">
        <v>35331</v>
      </c>
      <c r="S28" s="12">
        <v>21531</v>
      </c>
      <c r="T28" s="12">
        <v>0</v>
      </c>
      <c r="U28" s="12">
        <v>1148</v>
      </c>
      <c r="V28" s="12">
        <v>0</v>
      </c>
      <c r="W28" s="12">
        <v>0</v>
      </c>
      <c r="X28" s="12">
        <v>0</v>
      </c>
      <c r="Y28" s="12">
        <v>19303</v>
      </c>
      <c r="Z28" s="20"/>
      <c r="AA28" s="98"/>
      <c r="AB28" s="99"/>
    </row>
    <row r="29" spans="1:28" ht="22.5">
      <c r="A29" s="41">
        <v>17</v>
      </c>
      <c r="B29" s="97" t="s">
        <v>460</v>
      </c>
      <c r="C29" s="41">
        <v>2029</v>
      </c>
      <c r="D29" s="13">
        <v>354037.57</v>
      </c>
      <c r="E29" s="13">
        <v>61864</v>
      </c>
      <c r="F29" s="20"/>
      <c r="G29" s="13">
        <v>11979</v>
      </c>
      <c r="H29" s="13">
        <v>0</v>
      </c>
      <c r="I29" s="13">
        <v>0</v>
      </c>
      <c r="J29" s="13">
        <v>30906</v>
      </c>
      <c r="K29" s="13">
        <v>78864</v>
      </c>
      <c r="L29" s="13">
        <v>0</v>
      </c>
      <c r="M29" s="13">
        <v>2664</v>
      </c>
      <c r="N29" s="13">
        <f t="shared" si="0"/>
        <v>540314.5700000001</v>
      </c>
      <c r="O29" s="13">
        <v>193</v>
      </c>
      <c r="P29" s="13">
        <f t="shared" si="1"/>
        <v>2799.557357512954</v>
      </c>
      <c r="Q29" s="12" t="s">
        <v>415</v>
      </c>
      <c r="R29" s="12">
        <v>34853</v>
      </c>
      <c r="S29" s="12">
        <v>23649</v>
      </c>
      <c r="T29" s="12">
        <v>0</v>
      </c>
      <c r="U29" s="12">
        <v>1166</v>
      </c>
      <c r="V29" s="12">
        <v>0</v>
      </c>
      <c r="W29" s="12">
        <v>0</v>
      </c>
      <c r="X29" s="12">
        <v>0</v>
      </c>
      <c r="Y29" s="12">
        <v>22470</v>
      </c>
      <c r="Z29" s="20"/>
      <c r="AA29" s="98"/>
      <c r="AB29" s="99"/>
    </row>
    <row r="30" spans="1:28" ht="12">
      <c r="A30" s="41">
        <v>18</v>
      </c>
      <c r="B30" s="97" t="s">
        <v>461</v>
      </c>
      <c r="C30" s="41">
        <v>2006</v>
      </c>
      <c r="D30" s="13">
        <v>411512.63</v>
      </c>
      <c r="E30" s="13">
        <v>107728</v>
      </c>
      <c r="F30" s="20"/>
      <c r="G30" s="13">
        <v>11960</v>
      </c>
      <c r="H30" s="13">
        <v>0</v>
      </c>
      <c r="I30" s="13">
        <v>0</v>
      </c>
      <c r="J30" s="13">
        <v>36933</v>
      </c>
      <c r="K30" s="13">
        <v>76663</v>
      </c>
      <c r="L30" s="13">
        <v>0</v>
      </c>
      <c r="M30" s="13">
        <v>0</v>
      </c>
      <c r="N30" s="13">
        <f t="shared" si="0"/>
        <v>644796.63</v>
      </c>
      <c r="O30" s="13">
        <v>229</v>
      </c>
      <c r="P30" s="13">
        <f t="shared" si="1"/>
        <v>2815.705807860262</v>
      </c>
      <c r="Q30" s="12" t="s">
        <v>413</v>
      </c>
      <c r="R30" s="12">
        <v>35685</v>
      </c>
      <c r="S30" s="12">
        <v>17502</v>
      </c>
      <c r="T30" s="12">
        <v>0</v>
      </c>
      <c r="U30" s="12">
        <v>1184</v>
      </c>
      <c r="V30" s="12">
        <v>0</v>
      </c>
      <c r="W30" s="12">
        <v>0</v>
      </c>
      <c r="X30" s="12">
        <v>0</v>
      </c>
      <c r="Y30" s="12">
        <v>24259</v>
      </c>
      <c r="Z30" s="20"/>
      <c r="AA30" s="98"/>
      <c r="AB30" s="99"/>
    </row>
    <row r="31" spans="1:28" ht="22.5">
      <c r="A31" s="41">
        <v>19</v>
      </c>
      <c r="B31" s="97" t="s">
        <v>462</v>
      </c>
      <c r="C31" s="41">
        <v>2098</v>
      </c>
      <c r="D31" s="13">
        <v>311496.57499999995</v>
      </c>
      <c r="E31" s="13">
        <v>69775</v>
      </c>
      <c r="F31" s="20"/>
      <c r="G31" s="13">
        <v>33329</v>
      </c>
      <c r="H31" s="13">
        <v>0</v>
      </c>
      <c r="I31" s="13">
        <v>0</v>
      </c>
      <c r="J31" s="13">
        <v>53975</v>
      </c>
      <c r="K31" s="13">
        <v>200804</v>
      </c>
      <c r="L31" s="13">
        <v>0</v>
      </c>
      <c r="M31" s="13">
        <v>0</v>
      </c>
      <c r="N31" s="13">
        <f t="shared" si="0"/>
        <v>669379.575</v>
      </c>
      <c r="O31" s="13">
        <v>170.83333333333331</v>
      </c>
      <c r="P31" s="13">
        <f t="shared" si="1"/>
        <v>3918.3194634146344</v>
      </c>
      <c r="Q31" s="12" t="s">
        <v>415</v>
      </c>
      <c r="R31" s="12">
        <v>54740</v>
      </c>
      <c r="S31" s="12">
        <v>20309</v>
      </c>
      <c r="T31" s="12">
        <v>0</v>
      </c>
      <c r="U31" s="12">
        <v>1152</v>
      </c>
      <c r="V31" s="12">
        <v>0</v>
      </c>
      <c r="W31" s="12">
        <v>0</v>
      </c>
      <c r="X31" s="12">
        <v>0</v>
      </c>
      <c r="Y31" s="12">
        <v>43539</v>
      </c>
      <c r="Z31" s="20"/>
      <c r="AA31" s="98"/>
      <c r="AB31" s="99"/>
    </row>
    <row r="32" spans="1:28" ht="12">
      <c r="A32" s="41">
        <v>20</v>
      </c>
      <c r="B32" s="97" t="s">
        <v>463</v>
      </c>
      <c r="C32" s="41">
        <v>2008</v>
      </c>
      <c r="D32" s="13">
        <v>529523.4049999999</v>
      </c>
      <c r="E32" s="13">
        <v>96528</v>
      </c>
      <c r="F32" s="20"/>
      <c r="G32" s="13">
        <v>21647</v>
      </c>
      <c r="H32" s="13">
        <v>0</v>
      </c>
      <c r="I32" s="13">
        <v>0</v>
      </c>
      <c r="J32" s="13">
        <v>48241</v>
      </c>
      <c r="K32" s="13">
        <v>76718</v>
      </c>
      <c r="L32" s="13">
        <v>0</v>
      </c>
      <c r="M32" s="13">
        <v>0</v>
      </c>
      <c r="N32" s="13">
        <f t="shared" si="0"/>
        <v>772657.4049999999</v>
      </c>
      <c r="O32" s="13">
        <v>288.83333333333337</v>
      </c>
      <c r="P32" s="13">
        <f t="shared" si="1"/>
        <v>2675.0977668782452</v>
      </c>
      <c r="Q32" s="12" t="s">
        <v>413</v>
      </c>
      <c r="R32" s="12">
        <v>35132</v>
      </c>
      <c r="S32" s="12">
        <v>15633</v>
      </c>
      <c r="T32" s="12">
        <v>0</v>
      </c>
      <c r="U32" s="12">
        <v>1212</v>
      </c>
      <c r="V32" s="12">
        <v>0</v>
      </c>
      <c r="W32" s="12">
        <v>0</v>
      </c>
      <c r="X32" s="12">
        <v>0</v>
      </c>
      <c r="Y32" s="12">
        <v>38806</v>
      </c>
      <c r="Z32" s="20"/>
      <c r="AA32" s="98"/>
      <c r="AB32" s="99"/>
    </row>
    <row r="33" spans="1:28" ht="12">
      <c r="A33" s="41">
        <v>21</v>
      </c>
      <c r="B33" s="97" t="s">
        <v>464</v>
      </c>
      <c r="C33" s="41">
        <v>2007</v>
      </c>
      <c r="D33" s="13">
        <v>706791.75</v>
      </c>
      <c r="E33" s="13">
        <v>0</v>
      </c>
      <c r="F33" s="20"/>
      <c r="G33" s="13">
        <v>42200</v>
      </c>
      <c r="H33" s="13">
        <v>0</v>
      </c>
      <c r="I33" s="13">
        <v>0</v>
      </c>
      <c r="J33" s="13">
        <v>57040</v>
      </c>
      <c r="K33" s="13">
        <v>94280</v>
      </c>
      <c r="L33" s="13">
        <v>0</v>
      </c>
      <c r="M33" s="13">
        <v>0</v>
      </c>
      <c r="N33" s="13">
        <f t="shared" si="0"/>
        <v>900311.75</v>
      </c>
      <c r="O33" s="13">
        <v>375</v>
      </c>
      <c r="P33" s="13">
        <f t="shared" si="1"/>
        <v>2400.8313333333335</v>
      </c>
      <c r="Q33" s="12" t="s">
        <v>413</v>
      </c>
      <c r="R33" s="12">
        <v>44115</v>
      </c>
      <c r="S33" s="12">
        <v>19058</v>
      </c>
      <c r="T33" s="12">
        <v>0</v>
      </c>
      <c r="U33" s="12">
        <v>1258</v>
      </c>
      <c r="V33" s="12">
        <v>0</v>
      </c>
      <c r="W33" s="12">
        <v>0</v>
      </c>
      <c r="X33" s="12">
        <v>0</v>
      </c>
      <c r="Y33" s="12">
        <v>65415</v>
      </c>
      <c r="Z33" s="20"/>
      <c r="AA33" s="98"/>
      <c r="AB33" s="99"/>
    </row>
    <row r="34" spans="1:28" ht="12">
      <c r="A34" s="41">
        <v>22</v>
      </c>
      <c r="B34" s="97" t="s">
        <v>465</v>
      </c>
      <c r="C34" s="41">
        <v>3311</v>
      </c>
      <c r="D34" s="13">
        <v>319608.2</v>
      </c>
      <c r="E34" s="13">
        <v>47999</v>
      </c>
      <c r="F34" s="20"/>
      <c r="G34" s="13">
        <v>21402</v>
      </c>
      <c r="H34" s="13">
        <v>0</v>
      </c>
      <c r="I34" s="13">
        <v>0</v>
      </c>
      <c r="J34" s="13">
        <v>31964</v>
      </c>
      <c r="K34" s="13">
        <v>107510</v>
      </c>
      <c r="L34" s="13">
        <v>0</v>
      </c>
      <c r="M34" s="13">
        <v>0</v>
      </c>
      <c r="N34" s="13">
        <f t="shared" si="0"/>
        <v>528483.2</v>
      </c>
      <c r="O34" s="13">
        <v>172</v>
      </c>
      <c r="P34" s="13">
        <f t="shared" si="1"/>
        <v>3072.576744186046</v>
      </c>
      <c r="Q34" s="12" t="s">
        <v>413</v>
      </c>
      <c r="R34" s="12">
        <v>35967</v>
      </c>
      <c r="S34" s="12">
        <v>19147</v>
      </c>
      <c r="T34" s="12">
        <v>0</v>
      </c>
      <c r="U34" s="12">
        <v>1155</v>
      </c>
      <c r="V34" s="12">
        <v>0</v>
      </c>
      <c r="W34" s="12">
        <v>0</v>
      </c>
      <c r="X34" s="12">
        <v>0</v>
      </c>
      <c r="Y34" s="12">
        <v>29540</v>
      </c>
      <c r="Z34" s="20"/>
      <c r="AA34" s="98"/>
      <c r="AB34" s="99"/>
    </row>
    <row r="35" spans="1:28" ht="12">
      <c r="A35" s="41">
        <v>23</v>
      </c>
      <c r="B35" s="97" t="s">
        <v>466</v>
      </c>
      <c r="C35" s="41">
        <v>2090</v>
      </c>
      <c r="D35" s="13">
        <v>932404.97</v>
      </c>
      <c r="E35" s="13">
        <v>66129</v>
      </c>
      <c r="F35" s="20"/>
      <c r="G35" s="13">
        <v>53317</v>
      </c>
      <c r="H35" s="13">
        <v>0</v>
      </c>
      <c r="I35" s="13">
        <v>0</v>
      </c>
      <c r="J35" s="13">
        <v>79707</v>
      </c>
      <c r="K35" s="13">
        <v>91028</v>
      </c>
      <c r="L35" s="13">
        <v>0</v>
      </c>
      <c r="M35" s="13">
        <v>0</v>
      </c>
      <c r="N35" s="13">
        <f t="shared" si="0"/>
        <v>1222585.97</v>
      </c>
      <c r="O35" s="13">
        <v>503</v>
      </c>
      <c r="P35" s="13">
        <f t="shared" si="1"/>
        <v>2430.5884095427436</v>
      </c>
      <c r="Q35" s="12" t="s">
        <v>413</v>
      </c>
      <c r="R35" s="12">
        <v>54844</v>
      </c>
      <c r="S35" s="12">
        <v>29609</v>
      </c>
      <c r="T35" s="12">
        <v>0</v>
      </c>
      <c r="U35" s="12">
        <v>1321</v>
      </c>
      <c r="V35" s="12">
        <v>0</v>
      </c>
      <c r="W35" s="12">
        <v>0</v>
      </c>
      <c r="X35" s="12">
        <v>0</v>
      </c>
      <c r="Y35" s="12">
        <v>82364</v>
      </c>
      <c r="Z35" s="20"/>
      <c r="AA35" s="98"/>
      <c r="AB35" s="99"/>
    </row>
    <row r="36" spans="1:28" ht="12">
      <c r="A36" s="41">
        <v>24</v>
      </c>
      <c r="B36" s="97" t="s">
        <v>467</v>
      </c>
      <c r="C36" s="41">
        <v>2011</v>
      </c>
      <c r="D36" s="13">
        <v>452520.6</v>
      </c>
      <c r="E36" s="13">
        <v>0</v>
      </c>
      <c r="F36" s="20"/>
      <c r="G36" s="13">
        <v>19516</v>
      </c>
      <c r="H36" s="13">
        <v>0</v>
      </c>
      <c r="I36" s="13">
        <v>0</v>
      </c>
      <c r="J36" s="13">
        <v>38469</v>
      </c>
      <c r="K36" s="13">
        <v>80072</v>
      </c>
      <c r="L36" s="13">
        <v>0</v>
      </c>
      <c r="M36" s="13">
        <v>0</v>
      </c>
      <c r="N36" s="13">
        <f t="shared" si="0"/>
        <v>590577.6</v>
      </c>
      <c r="O36" s="13">
        <v>240</v>
      </c>
      <c r="P36" s="13">
        <f t="shared" si="1"/>
        <v>2460.74</v>
      </c>
      <c r="Q36" s="12" t="s">
        <v>413</v>
      </c>
      <c r="R36" s="12">
        <v>37830</v>
      </c>
      <c r="S36" s="12">
        <v>15653</v>
      </c>
      <c r="T36" s="12">
        <v>0</v>
      </c>
      <c r="U36" s="12">
        <v>1190</v>
      </c>
      <c r="V36" s="12">
        <v>0</v>
      </c>
      <c r="W36" s="12">
        <v>0</v>
      </c>
      <c r="X36" s="12">
        <v>0</v>
      </c>
      <c r="Y36" s="12">
        <v>32048</v>
      </c>
      <c r="Z36" s="20"/>
      <c r="AA36" s="98"/>
      <c r="AB36" s="99"/>
    </row>
    <row r="37" spans="1:28" ht="22.5">
      <c r="A37" s="41">
        <v>25</v>
      </c>
      <c r="B37" s="97" t="s">
        <v>468</v>
      </c>
      <c r="C37" s="41">
        <v>2012</v>
      </c>
      <c r="D37" s="13">
        <v>688102.25</v>
      </c>
      <c r="E37" s="13">
        <v>8534</v>
      </c>
      <c r="F37" s="20"/>
      <c r="G37" s="13">
        <v>91611</v>
      </c>
      <c r="H37" s="13">
        <v>0</v>
      </c>
      <c r="I37" s="13">
        <v>0</v>
      </c>
      <c r="J37" s="13">
        <v>66309</v>
      </c>
      <c r="K37" s="13">
        <v>85090</v>
      </c>
      <c r="L37" s="13">
        <v>0</v>
      </c>
      <c r="M37" s="13">
        <v>0</v>
      </c>
      <c r="N37" s="13">
        <f t="shared" si="0"/>
        <v>939646.25</v>
      </c>
      <c r="O37" s="13">
        <v>376</v>
      </c>
      <c r="P37" s="13">
        <f t="shared" si="1"/>
        <v>2499.059175531915</v>
      </c>
      <c r="Q37" s="12" t="s">
        <v>413</v>
      </c>
      <c r="R37" s="12">
        <v>48518</v>
      </c>
      <c r="S37" s="12">
        <v>30989</v>
      </c>
      <c r="T37" s="12">
        <v>0</v>
      </c>
      <c r="U37" s="12">
        <v>1257</v>
      </c>
      <c r="V37" s="12">
        <v>0</v>
      </c>
      <c r="W37" s="12">
        <v>0</v>
      </c>
      <c r="X37" s="12">
        <v>0</v>
      </c>
      <c r="Y37" s="12">
        <v>108695</v>
      </c>
      <c r="Z37" s="20"/>
      <c r="AA37" s="98"/>
      <c r="AB37" s="99"/>
    </row>
    <row r="38" spans="1:28" ht="22.5">
      <c r="A38" s="41">
        <v>26</v>
      </c>
      <c r="B38" s="97" t="s">
        <v>469</v>
      </c>
      <c r="C38" s="41">
        <v>5200</v>
      </c>
      <c r="D38" s="13">
        <v>767459.44</v>
      </c>
      <c r="E38" s="13">
        <v>65064</v>
      </c>
      <c r="F38" s="20"/>
      <c r="G38" s="13">
        <v>70164</v>
      </c>
      <c r="H38" s="13">
        <v>0</v>
      </c>
      <c r="I38" s="13">
        <v>0</v>
      </c>
      <c r="J38" s="13">
        <v>86597</v>
      </c>
      <c r="K38" s="13">
        <v>124014</v>
      </c>
      <c r="L38" s="13">
        <v>0</v>
      </c>
      <c r="M38" s="13">
        <v>0</v>
      </c>
      <c r="N38" s="13">
        <f t="shared" si="0"/>
        <v>1113298.44</v>
      </c>
      <c r="O38" s="13">
        <v>413</v>
      </c>
      <c r="P38" s="13">
        <f t="shared" si="1"/>
        <v>2695.6378692493945</v>
      </c>
      <c r="Q38" s="12" t="s">
        <v>415</v>
      </c>
      <c r="R38" s="12">
        <v>56487</v>
      </c>
      <c r="S38" s="12">
        <v>172602</v>
      </c>
      <c r="T38" s="12">
        <v>0</v>
      </c>
      <c r="U38" s="12">
        <v>1275</v>
      </c>
      <c r="V38" s="12">
        <v>0</v>
      </c>
      <c r="W38" s="12">
        <v>0</v>
      </c>
      <c r="X38" s="12">
        <v>0</v>
      </c>
      <c r="Y38" s="12">
        <v>74640</v>
      </c>
      <c r="Z38" s="20"/>
      <c r="AA38" s="98"/>
      <c r="AB38" s="99"/>
    </row>
    <row r="39" spans="1:28" ht="12">
      <c r="A39" s="41">
        <v>27</v>
      </c>
      <c r="B39" s="97" t="s">
        <v>470</v>
      </c>
      <c r="C39" s="41">
        <v>2057</v>
      </c>
      <c r="D39" s="13">
        <v>403983.72</v>
      </c>
      <c r="E39" s="13">
        <v>36265</v>
      </c>
      <c r="F39" s="20"/>
      <c r="G39" s="13">
        <v>26741</v>
      </c>
      <c r="H39" s="13">
        <v>0</v>
      </c>
      <c r="I39" s="13">
        <v>0</v>
      </c>
      <c r="J39" s="13">
        <v>36690</v>
      </c>
      <c r="K39" s="13">
        <v>96269</v>
      </c>
      <c r="L39" s="13">
        <v>0</v>
      </c>
      <c r="M39" s="13">
        <v>0</v>
      </c>
      <c r="N39" s="13">
        <f t="shared" si="0"/>
        <v>599948.72</v>
      </c>
      <c r="O39" s="13">
        <v>219</v>
      </c>
      <c r="P39" s="13">
        <f t="shared" si="1"/>
        <v>2739.4918721461186</v>
      </c>
      <c r="Q39" s="12" t="s">
        <v>413</v>
      </c>
      <c r="R39" s="12">
        <v>36629</v>
      </c>
      <c r="S39" s="12">
        <v>13274</v>
      </c>
      <c r="T39" s="12">
        <v>0</v>
      </c>
      <c r="U39" s="12">
        <v>1179</v>
      </c>
      <c r="V39" s="12">
        <v>0</v>
      </c>
      <c r="W39" s="12">
        <v>0</v>
      </c>
      <c r="X39" s="12">
        <v>0</v>
      </c>
      <c r="Y39" s="12">
        <v>39912</v>
      </c>
      <c r="Z39" s="20"/>
      <c r="AA39" s="98"/>
      <c r="AB39" s="99"/>
    </row>
    <row r="40" spans="1:28" ht="12">
      <c r="A40" s="41">
        <v>28</v>
      </c>
      <c r="B40" s="97" t="s">
        <v>471</v>
      </c>
      <c r="C40" s="41">
        <v>2013</v>
      </c>
      <c r="D40" s="13">
        <v>442860.11</v>
      </c>
      <c r="E40" s="13">
        <v>33065</v>
      </c>
      <c r="F40" s="20"/>
      <c r="G40" s="13">
        <v>10279</v>
      </c>
      <c r="H40" s="13">
        <v>0</v>
      </c>
      <c r="I40" s="13">
        <v>0</v>
      </c>
      <c r="J40" s="13">
        <v>33517</v>
      </c>
      <c r="K40" s="13">
        <v>91421</v>
      </c>
      <c r="L40" s="13">
        <v>0</v>
      </c>
      <c r="M40" s="13">
        <v>0</v>
      </c>
      <c r="N40" s="13">
        <f t="shared" si="0"/>
        <v>611142.11</v>
      </c>
      <c r="O40" s="13">
        <v>239</v>
      </c>
      <c r="P40" s="13">
        <f t="shared" si="1"/>
        <v>2557.079958158996</v>
      </c>
      <c r="Q40" s="12" t="s">
        <v>415</v>
      </c>
      <c r="R40" s="12">
        <v>36650</v>
      </c>
      <c r="S40" s="12">
        <v>22839</v>
      </c>
      <c r="T40" s="12">
        <v>0</v>
      </c>
      <c r="U40" s="12">
        <v>1190</v>
      </c>
      <c r="V40" s="12">
        <v>0</v>
      </c>
      <c r="W40" s="12">
        <v>0</v>
      </c>
      <c r="X40" s="12">
        <v>0</v>
      </c>
      <c r="Y40" s="12">
        <v>23428</v>
      </c>
      <c r="Z40" s="20"/>
      <c r="AA40" s="98"/>
      <c r="AB40" s="99"/>
    </row>
    <row r="41" spans="1:28" ht="12">
      <c r="A41" s="41">
        <v>29</v>
      </c>
      <c r="B41" s="97" t="s">
        <v>472</v>
      </c>
      <c r="C41" s="41">
        <v>2097</v>
      </c>
      <c r="D41" s="13">
        <v>449432.06</v>
      </c>
      <c r="E41" s="13">
        <v>38398</v>
      </c>
      <c r="F41" s="20"/>
      <c r="G41" s="13">
        <v>62215</v>
      </c>
      <c r="H41" s="13">
        <v>0</v>
      </c>
      <c r="I41" s="13">
        <v>0</v>
      </c>
      <c r="J41" s="13">
        <v>63249</v>
      </c>
      <c r="K41" s="13">
        <v>98171</v>
      </c>
      <c r="L41" s="13">
        <v>0</v>
      </c>
      <c r="M41" s="13">
        <v>0</v>
      </c>
      <c r="N41" s="13">
        <f t="shared" si="0"/>
        <v>711465.06</v>
      </c>
      <c r="O41" s="13">
        <v>244</v>
      </c>
      <c r="P41" s="13">
        <f t="shared" si="1"/>
        <v>2915.8404098360656</v>
      </c>
      <c r="Q41" s="12" t="s">
        <v>413</v>
      </c>
      <c r="R41" s="12">
        <v>40582</v>
      </c>
      <c r="S41" s="12">
        <v>105531</v>
      </c>
      <c r="T41" s="12">
        <v>0</v>
      </c>
      <c r="U41" s="12">
        <v>1190</v>
      </c>
      <c r="V41" s="12">
        <v>0</v>
      </c>
      <c r="W41" s="12">
        <v>0</v>
      </c>
      <c r="X41" s="12">
        <v>0</v>
      </c>
      <c r="Y41" s="12">
        <v>61116</v>
      </c>
      <c r="Z41" s="20"/>
      <c r="AA41" s="98"/>
      <c r="AB41" s="99"/>
    </row>
    <row r="42" spans="1:28" ht="12">
      <c r="A42" s="41">
        <v>30</v>
      </c>
      <c r="B42" s="97" t="s">
        <v>473</v>
      </c>
      <c r="C42" s="41">
        <v>2053</v>
      </c>
      <c r="D42" s="13">
        <v>396749.61</v>
      </c>
      <c r="E42" s="13">
        <v>95997</v>
      </c>
      <c r="F42" s="20"/>
      <c r="G42" s="13">
        <v>29921</v>
      </c>
      <c r="H42" s="13">
        <v>0</v>
      </c>
      <c r="I42" s="13">
        <v>0</v>
      </c>
      <c r="J42" s="13">
        <v>35468</v>
      </c>
      <c r="K42" s="13">
        <v>79259</v>
      </c>
      <c r="L42" s="13">
        <v>0</v>
      </c>
      <c r="M42" s="13">
        <v>1120</v>
      </c>
      <c r="N42" s="13">
        <f t="shared" si="0"/>
        <v>638514.61</v>
      </c>
      <c r="O42" s="13">
        <v>214</v>
      </c>
      <c r="P42" s="13">
        <f t="shared" si="1"/>
        <v>2983.7131308411213</v>
      </c>
      <c r="Q42" s="12" t="s">
        <v>415</v>
      </c>
      <c r="R42" s="12">
        <v>37219</v>
      </c>
      <c r="S42" s="12">
        <v>60472</v>
      </c>
      <c r="T42" s="12">
        <v>0</v>
      </c>
      <c r="U42" s="12">
        <v>1176</v>
      </c>
      <c r="V42" s="12">
        <v>0</v>
      </c>
      <c r="W42" s="12">
        <v>0</v>
      </c>
      <c r="X42" s="12">
        <v>0</v>
      </c>
      <c r="Y42" s="12">
        <v>35004</v>
      </c>
      <c r="Z42" s="20"/>
      <c r="AA42" s="98"/>
      <c r="AB42" s="99"/>
    </row>
    <row r="43" spans="1:28" ht="12">
      <c r="A43" s="41">
        <v>31</v>
      </c>
      <c r="B43" s="97" t="s">
        <v>474</v>
      </c>
      <c r="C43" s="41">
        <v>2052</v>
      </c>
      <c r="D43" s="13">
        <v>456182.93</v>
      </c>
      <c r="E43" s="13">
        <v>0</v>
      </c>
      <c r="F43" s="20"/>
      <c r="G43" s="13">
        <v>75208</v>
      </c>
      <c r="H43" s="13">
        <v>0</v>
      </c>
      <c r="I43" s="13">
        <v>0</v>
      </c>
      <c r="J43" s="13">
        <v>48913</v>
      </c>
      <c r="K43" s="13">
        <v>80025</v>
      </c>
      <c r="L43" s="13">
        <v>0</v>
      </c>
      <c r="M43" s="13">
        <v>0</v>
      </c>
      <c r="N43" s="13">
        <f t="shared" si="0"/>
        <v>660328.9299999999</v>
      </c>
      <c r="O43" s="13">
        <v>242</v>
      </c>
      <c r="P43" s="13">
        <f t="shared" si="1"/>
        <v>2728.63194214876</v>
      </c>
      <c r="Q43" s="12" t="s">
        <v>413</v>
      </c>
      <c r="R43" s="12">
        <v>39774</v>
      </c>
      <c r="S43" s="12">
        <v>114113</v>
      </c>
      <c r="T43" s="12">
        <v>0</v>
      </c>
      <c r="U43" s="12">
        <v>1191</v>
      </c>
      <c r="V43" s="12">
        <v>0</v>
      </c>
      <c r="W43" s="12">
        <v>0</v>
      </c>
      <c r="X43" s="12">
        <v>0</v>
      </c>
      <c r="Y43" s="12">
        <v>78610</v>
      </c>
      <c r="Z43" s="20"/>
      <c r="AA43" s="98"/>
      <c r="AB43" s="99"/>
    </row>
    <row r="44" spans="1:28" ht="22.5">
      <c r="A44" s="41">
        <v>32</v>
      </c>
      <c r="B44" s="97" t="s">
        <v>475</v>
      </c>
      <c r="C44" s="41">
        <v>3012</v>
      </c>
      <c r="D44" s="13">
        <v>817928.25</v>
      </c>
      <c r="E44" s="13">
        <v>57597</v>
      </c>
      <c r="F44" s="20"/>
      <c r="G44" s="13">
        <v>29472</v>
      </c>
      <c r="H44" s="13">
        <v>0</v>
      </c>
      <c r="I44" s="13">
        <v>0</v>
      </c>
      <c r="J44" s="13">
        <v>69268</v>
      </c>
      <c r="K44" s="13">
        <v>95502</v>
      </c>
      <c r="L44" s="13">
        <v>0</v>
      </c>
      <c r="M44" s="13">
        <v>0</v>
      </c>
      <c r="N44" s="13">
        <f t="shared" si="0"/>
        <v>1069767.25</v>
      </c>
      <c r="O44" s="13">
        <v>438</v>
      </c>
      <c r="P44" s="13">
        <f t="shared" si="1"/>
        <v>2442.39098173516</v>
      </c>
      <c r="Q44" s="12" t="s">
        <v>413</v>
      </c>
      <c r="R44" s="12">
        <v>50433</v>
      </c>
      <c r="S44" s="12">
        <v>23884</v>
      </c>
      <c r="T44" s="12">
        <v>0</v>
      </c>
      <c r="U44" s="12">
        <v>1287</v>
      </c>
      <c r="V44" s="12">
        <v>0</v>
      </c>
      <c r="W44" s="12">
        <v>0</v>
      </c>
      <c r="X44" s="12">
        <v>0</v>
      </c>
      <c r="Y44" s="12">
        <v>55896</v>
      </c>
      <c r="Z44" s="20"/>
      <c r="AA44" s="98"/>
      <c r="AB44" s="99"/>
    </row>
    <row r="45" spans="1:28" ht="22.5">
      <c r="A45" s="41">
        <v>33</v>
      </c>
      <c r="B45" s="97" t="s">
        <v>476</v>
      </c>
      <c r="C45" s="41">
        <v>3312</v>
      </c>
      <c r="D45" s="13">
        <v>293795.94</v>
      </c>
      <c r="E45" s="13">
        <v>47999</v>
      </c>
      <c r="F45" s="20"/>
      <c r="G45" s="13">
        <v>23755</v>
      </c>
      <c r="H45" s="13">
        <v>0</v>
      </c>
      <c r="I45" s="13">
        <v>0</v>
      </c>
      <c r="J45" s="13">
        <v>19426</v>
      </c>
      <c r="K45" s="13">
        <v>110759</v>
      </c>
      <c r="L45" s="13">
        <v>0</v>
      </c>
      <c r="M45" s="13">
        <v>0</v>
      </c>
      <c r="N45" s="13">
        <f t="shared" si="0"/>
        <v>495734.94</v>
      </c>
      <c r="O45" s="13">
        <v>159</v>
      </c>
      <c r="P45" s="13">
        <f t="shared" si="1"/>
        <v>3117.8298113207547</v>
      </c>
      <c r="Q45" s="12" t="s">
        <v>413</v>
      </c>
      <c r="R45" s="12">
        <v>35429</v>
      </c>
      <c r="S45" s="12">
        <v>17088</v>
      </c>
      <c r="T45" s="12">
        <v>0</v>
      </c>
      <c r="U45" s="12">
        <v>1150</v>
      </c>
      <c r="V45" s="12">
        <v>0</v>
      </c>
      <c r="W45" s="12">
        <v>0</v>
      </c>
      <c r="X45" s="12">
        <v>0</v>
      </c>
      <c r="Y45" s="12">
        <v>32439</v>
      </c>
      <c r="Z45" s="20"/>
      <c r="AA45" s="98"/>
      <c r="AB45" s="99"/>
    </row>
    <row r="46" spans="1:28" ht="12">
      <c r="A46" s="41">
        <v>34</v>
      </c>
      <c r="B46" s="97" t="s">
        <v>477</v>
      </c>
      <c r="C46" s="41">
        <v>2091</v>
      </c>
      <c r="D46" s="13">
        <v>791859.57</v>
      </c>
      <c r="E46" s="13">
        <v>69330</v>
      </c>
      <c r="F46" s="20"/>
      <c r="G46" s="13">
        <v>74270</v>
      </c>
      <c r="H46" s="13">
        <v>0</v>
      </c>
      <c r="I46" s="13">
        <v>0</v>
      </c>
      <c r="J46" s="13">
        <v>76985</v>
      </c>
      <c r="K46" s="13">
        <v>88189</v>
      </c>
      <c r="L46" s="13">
        <v>0</v>
      </c>
      <c r="M46" s="13">
        <v>0</v>
      </c>
      <c r="N46" s="13">
        <f t="shared" si="0"/>
        <v>1100633.5699999998</v>
      </c>
      <c r="O46" s="13">
        <v>427</v>
      </c>
      <c r="P46" s="13">
        <f t="shared" si="1"/>
        <v>2577.596182669789</v>
      </c>
      <c r="Q46" s="12" t="s">
        <v>413</v>
      </c>
      <c r="R46" s="12">
        <v>54455</v>
      </c>
      <c r="S46" s="12">
        <v>40722</v>
      </c>
      <c r="T46" s="12">
        <v>0</v>
      </c>
      <c r="U46" s="12">
        <v>1283</v>
      </c>
      <c r="V46" s="12">
        <v>0</v>
      </c>
      <c r="W46" s="12">
        <v>0</v>
      </c>
      <c r="X46" s="12">
        <v>0</v>
      </c>
      <c r="Y46" s="12">
        <v>91594</v>
      </c>
      <c r="Z46" s="20"/>
      <c r="AA46" s="98"/>
      <c r="AB46" s="99"/>
    </row>
    <row r="47" spans="1:28" ht="12">
      <c r="A47" s="41">
        <v>35</v>
      </c>
      <c r="B47" s="97" t="s">
        <v>478</v>
      </c>
      <c r="C47" s="41">
        <v>2081</v>
      </c>
      <c r="D47" s="13">
        <v>511608.4</v>
      </c>
      <c r="E47" s="13">
        <v>108794</v>
      </c>
      <c r="F47" s="20"/>
      <c r="G47" s="13">
        <v>56609</v>
      </c>
      <c r="H47" s="13">
        <v>0</v>
      </c>
      <c r="I47" s="13">
        <v>0</v>
      </c>
      <c r="J47" s="13">
        <v>52911</v>
      </c>
      <c r="K47" s="13">
        <v>74497</v>
      </c>
      <c r="L47" s="13">
        <v>0</v>
      </c>
      <c r="M47" s="13">
        <v>0</v>
      </c>
      <c r="N47" s="13">
        <f t="shared" si="0"/>
        <v>804419.4</v>
      </c>
      <c r="O47" s="13">
        <v>282</v>
      </c>
      <c r="P47" s="13">
        <f t="shared" si="1"/>
        <v>2852.5510638297874</v>
      </c>
      <c r="Q47" s="12" t="s">
        <v>413</v>
      </c>
      <c r="R47" s="12">
        <v>37338</v>
      </c>
      <c r="S47" s="12">
        <v>23045</v>
      </c>
      <c r="T47" s="12">
        <v>0</v>
      </c>
      <c r="U47" s="12">
        <v>1211</v>
      </c>
      <c r="V47" s="12">
        <v>0</v>
      </c>
      <c r="W47" s="12">
        <v>0</v>
      </c>
      <c r="X47" s="12">
        <v>0</v>
      </c>
      <c r="Y47" s="12">
        <v>71434</v>
      </c>
      <c r="Z47" s="20"/>
      <c r="AA47" s="98"/>
      <c r="AB47" s="99"/>
    </row>
    <row r="48" spans="1:28" ht="12">
      <c r="A48" s="41">
        <v>36</v>
      </c>
      <c r="B48" s="97" t="s">
        <v>479</v>
      </c>
      <c r="C48" s="41">
        <v>2051</v>
      </c>
      <c r="D48" s="13">
        <v>538219.5</v>
      </c>
      <c r="E48" s="13">
        <v>0</v>
      </c>
      <c r="F48" s="20"/>
      <c r="G48" s="13">
        <v>30687</v>
      </c>
      <c r="H48" s="13">
        <v>0</v>
      </c>
      <c r="I48" s="13">
        <v>0</v>
      </c>
      <c r="J48" s="13">
        <v>43341</v>
      </c>
      <c r="K48" s="13">
        <v>74964</v>
      </c>
      <c r="L48" s="13">
        <v>0</v>
      </c>
      <c r="M48" s="13">
        <v>0</v>
      </c>
      <c r="N48" s="13">
        <f t="shared" si="0"/>
        <v>687211.5</v>
      </c>
      <c r="O48" s="13">
        <v>285</v>
      </c>
      <c r="P48" s="13">
        <f t="shared" si="1"/>
        <v>2411.2684210526318</v>
      </c>
      <c r="Q48" s="12" t="s">
        <v>415</v>
      </c>
      <c r="R48" s="12">
        <v>36783</v>
      </c>
      <c r="S48" s="12">
        <v>24815</v>
      </c>
      <c r="T48" s="12">
        <v>0</v>
      </c>
      <c r="U48" s="12">
        <v>1213</v>
      </c>
      <c r="V48" s="12">
        <v>0</v>
      </c>
      <c r="W48" s="12">
        <v>0</v>
      </c>
      <c r="X48" s="12">
        <v>0</v>
      </c>
      <c r="Y48" s="12">
        <v>46333</v>
      </c>
      <c r="Z48" s="20"/>
      <c r="AA48" s="98"/>
      <c r="AB48" s="99"/>
    </row>
    <row r="49" spans="1:28" ht="22.5">
      <c r="A49" s="41">
        <v>37</v>
      </c>
      <c r="B49" s="97" t="s">
        <v>480</v>
      </c>
      <c r="C49" s="41">
        <v>3010</v>
      </c>
      <c r="D49" s="13">
        <v>377426.42</v>
      </c>
      <c r="E49" s="13">
        <v>41599</v>
      </c>
      <c r="F49" s="20"/>
      <c r="G49" s="13">
        <v>28781</v>
      </c>
      <c r="H49" s="13">
        <v>0</v>
      </c>
      <c r="I49" s="13">
        <v>0</v>
      </c>
      <c r="J49" s="13">
        <v>31637</v>
      </c>
      <c r="K49" s="13">
        <v>99220</v>
      </c>
      <c r="L49" s="13">
        <v>0</v>
      </c>
      <c r="M49" s="13">
        <v>0</v>
      </c>
      <c r="N49" s="13">
        <f t="shared" si="0"/>
        <v>578663.4199999999</v>
      </c>
      <c r="O49" s="13">
        <v>204</v>
      </c>
      <c r="P49" s="13">
        <f t="shared" si="1"/>
        <v>2836.5853921568623</v>
      </c>
      <c r="Q49" s="12" t="s">
        <v>415</v>
      </c>
      <c r="R49" s="12">
        <v>36552</v>
      </c>
      <c r="S49" s="12">
        <v>22309</v>
      </c>
      <c r="T49" s="12">
        <v>0</v>
      </c>
      <c r="U49" s="12">
        <v>1171</v>
      </c>
      <c r="V49" s="12">
        <v>0</v>
      </c>
      <c r="W49" s="12">
        <v>0</v>
      </c>
      <c r="X49" s="12">
        <v>0</v>
      </c>
      <c r="Y49" s="12">
        <v>40003</v>
      </c>
      <c r="Z49" s="20"/>
      <c r="AA49" s="98"/>
      <c r="AB49" s="99"/>
    </row>
    <row r="50" spans="1:28" ht="12">
      <c r="A50" s="41">
        <v>38</v>
      </c>
      <c r="B50" s="97" t="s">
        <v>481</v>
      </c>
      <c r="C50" s="41">
        <v>2031</v>
      </c>
      <c r="D50" s="13">
        <v>418589.03</v>
      </c>
      <c r="E50" s="13">
        <v>33065</v>
      </c>
      <c r="F50" s="20"/>
      <c r="G50" s="13">
        <v>24978</v>
      </c>
      <c r="H50" s="13">
        <v>0</v>
      </c>
      <c r="I50" s="13">
        <v>0</v>
      </c>
      <c r="J50" s="13">
        <v>38524</v>
      </c>
      <c r="K50" s="13">
        <v>93404</v>
      </c>
      <c r="L50" s="13">
        <v>0</v>
      </c>
      <c r="M50" s="13">
        <v>0</v>
      </c>
      <c r="N50" s="13">
        <f t="shared" si="0"/>
        <v>608560.03</v>
      </c>
      <c r="O50" s="13">
        <v>226</v>
      </c>
      <c r="P50" s="13">
        <f t="shared" si="1"/>
        <v>2692.7434955752215</v>
      </c>
      <c r="Q50" s="12" t="s">
        <v>413</v>
      </c>
      <c r="R50" s="12">
        <v>36085</v>
      </c>
      <c r="S50" s="12">
        <v>17996</v>
      </c>
      <c r="T50" s="12">
        <v>0</v>
      </c>
      <c r="U50" s="12">
        <v>1183</v>
      </c>
      <c r="V50" s="12">
        <v>0</v>
      </c>
      <c r="W50" s="12">
        <v>0</v>
      </c>
      <c r="X50" s="12">
        <v>0</v>
      </c>
      <c r="Y50" s="12">
        <v>35841</v>
      </c>
      <c r="Z50" s="20"/>
      <c r="AA50" s="98"/>
      <c r="AB50" s="99"/>
    </row>
    <row r="51" spans="1:28" ht="22.5">
      <c r="A51" s="41">
        <v>39</v>
      </c>
      <c r="B51" s="97" t="s">
        <v>482</v>
      </c>
      <c r="C51" s="41">
        <v>2096</v>
      </c>
      <c r="D51" s="13">
        <v>1157764</v>
      </c>
      <c r="E51" s="13">
        <v>87462</v>
      </c>
      <c r="F51" s="20"/>
      <c r="G51" s="13">
        <v>62844</v>
      </c>
      <c r="H51" s="13">
        <v>0</v>
      </c>
      <c r="I51" s="13">
        <v>0</v>
      </c>
      <c r="J51" s="13">
        <v>85235</v>
      </c>
      <c r="K51" s="13">
        <v>96812</v>
      </c>
      <c r="L51" s="13">
        <v>0</v>
      </c>
      <c r="M51" s="13">
        <v>0</v>
      </c>
      <c r="N51" s="13">
        <f t="shared" si="0"/>
        <v>1490117</v>
      </c>
      <c r="O51" s="13">
        <v>620</v>
      </c>
      <c r="P51" s="13">
        <f t="shared" si="1"/>
        <v>2403.414516129032</v>
      </c>
      <c r="Q51" s="12" t="s">
        <v>413</v>
      </c>
      <c r="R51" s="12">
        <v>69009</v>
      </c>
      <c r="S51" s="12">
        <v>34407</v>
      </c>
      <c r="T51" s="12">
        <v>0</v>
      </c>
      <c r="U51" s="12">
        <v>1380</v>
      </c>
      <c r="V51" s="12">
        <v>0</v>
      </c>
      <c r="W51" s="12">
        <v>0</v>
      </c>
      <c r="X51" s="12">
        <v>0</v>
      </c>
      <c r="Y51" s="12">
        <v>99149</v>
      </c>
      <c r="Z51" s="20"/>
      <c r="AA51" s="98"/>
      <c r="AB51" s="99"/>
    </row>
    <row r="52" spans="1:28" ht="12">
      <c r="A52" s="41">
        <v>40</v>
      </c>
      <c r="B52" s="97" t="s">
        <v>483</v>
      </c>
      <c r="C52" s="41">
        <v>2030</v>
      </c>
      <c r="D52" s="13">
        <v>416716.65</v>
      </c>
      <c r="E52" s="13">
        <v>33065</v>
      </c>
      <c r="F52" s="20"/>
      <c r="G52" s="13">
        <v>3829</v>
      </c>
      <c r="H52" s="13">
        <v>0</v>
      </c>
      <c r="I52" s="13">
        <v>0</v>
      </c>
      <c r="J52" s="13">
        <v>38320</v>
      </c>
      <c r="K52" s="13">
        <v>99952</v>
      </c>
      <c r="L52" s="13">
        <v>0</v>
      </c>
      <c r="M52" s="13">
        <v>0</v>
      </c>
      <c r="N52" s="13">
        <f t="shared" si="0"/>
        <v>591882.65</v>
      </c>
      <c r="O52" s="13">
        <v>225</v>
      </c>
      <c r="P52" s="13">
        <f t="shared" si="1"/>
        <v>2630.5895555555558</v>
      </c>
      <c r="Q52" s="12" t="s">
        <v>413</v>
      </c>
      <c r="R52" s="12">
        <v>34579</v>
      </c>
      <c r="S52" s="12">
        <v>13223</v>
      </c>
      <c r="T52" s="12">
        <v>0</v>
      </c>
      <c r="U52" s="12">
        <v>1183</v>
      </c>
      <c r="V52" s="12">
        <v>0</v>
      </c>
      <c r="W52" s="12">
        <v>0</v>
      </c>
      <c r="X52" s="12">
        <v>0</v>
      </c>
      <c r="Y52" s="12">
        <v>17921</v>
      </c>
      <c r="Z52" s="20"/>
      <c r="AA52" s="98"/>
      <c r="AB52" s="99"/>
    </row>
    <row r="53" spans="1:28" ht="22.5">
      <c r="A53" s="41">
        <v>41</v>
      </c>
      <c r="B53" s="97" t="s">
        <v>484</v>
      </c>
      <c r="C53" s="41">
        <v>3504</v>
      </c>
      <c r="D53" s="13">
        <v>618527.29</v>
      </c>
      <c r="E53" s="13">
        <v>37332</v>
      </c>
      <c r="F53" s="20"/>
      <c r="G53" s="13">
        <v>45931</v>
      </c>
      <c r="H53" s="13">
        <v>0</v>
      </c>
      <c r="I53" s="13">
        <v>0</v>
      </c>
      <c r="J53" s="13">
        <v>40194</v>
      </c>
      <c r="K53" s="13">
        <v>82859</v>
      </c>
      <c r="L53" s="13">
        <v>0</v>
      </c>
      <c r="M53" s="13">
        <v>0</v>
      </c>
      <c r="N53" s="13">
        <f t="shared" si="0"/>
        <v>824843.29</v>
      </c>
      <c r="O53" s="13">
        <v>333</v>
      </c>
      <c r="P53" s="13">
        <f t="shared" si="1"/>
        <v>2477.006876876877</v>
      </c>
      <c r="Q53" s="12" t="s">
        <v>413</v>
      </c>
      <c r="R53" s="12">
        <v>39788</v>
      </c>
      <c r="S53" s="12">
        <v>20354</v>
      </c>
      <c r="T53" s="12">
        <v>0</v>
      </c>
      <c r="U53" s="12">
        <v>1236</v>
      </c>
      <c r="V53" s="12">
        <v>0</v>
      </c>
      <c r="W53" s="12">
        <v>0</v>
      </c>
      <c r="X53" s="12">
        <v>0</v>
      </c>
      <c r="Y53" s="12">
        <v>63994</v>
      </c>
      <c r="Z53" s="20"/>
      <c r="AA53" s="98"/>
      <c r="AB53" s="99"/>
    </row>
    <row r="54" spans="1:28" ht="22.5">
      <c r="A54" s="41">
        <v>42</v>
      </c>
      <c r="B54" s="97" t="s">
        <v>485</v>
      </c>
      <c r="C54" s="41">
        <v>3500</v>
      </c>
      <c r="D54" s="13">
        <v>841501.07</v>
      </c>
      <c r="E54" s="13">
        <v>49064</v>
      </c>
      <c r="F54" s="20"/>
      <c r="G54" s="13">
        <v>56649</v>
      </c>
      <c r="H54" s="13">
        <v>0</v>
      </c>
      <c r="I54" s="13">
        <v>0</v>
      </c>
      <c r="J54" s="13">
        <v>38779</v>
      </c>
      <c r="K54" s="13">
        <v>90472</v>
      </c>
      <c r="L54" s="13">
        <v>0</v>
      </c>
      <c r="M54" s="13">
        <v>0</v>
      </c>
      <c r="N54" s="13">
        <f t="shared" si="0"/>
        <v>1076465.0699999998</v>
      </c>
      <c r="O54" s="13">
        <v>447</v>
      </c>
      <c r="P54" s="13">
        <f t="shared" si="1"/>
        <v>2408.199261744966</v>
      </c>
      <c r="Q54" s="12" t="s">
        <v>413</v>
      </c>
      <c r="R54" s="12">
        <v>51434</v>
      </c>
      <c r="S54" s="12">
        <v>23539</v>
      </c>
      <c r="T54" s="12">
        <v>0</v>
      </c>
      <c r="U54" s="12">
        <v>1294</v>
      </c>
      <c r="V54" s="12">
        <v>0</v>
      </c>
      <c r="W54" s="12">
        <v>0</v>
      </c>
      <c r="X54" s="12">
        <v>0</v>
      </c>
      <c r="Y54" s="12">
        <v>83092</v>
      </c>
      <c r="Z54" s="20"/>
      <c r="AA54" s="98"/>
      <c r="AB54" s="99"/>
    </row>
    <row r="55" spans="1:28" ht="12">
      <c r="A55" s="41">
        <v>43</v>
      </c>
      <c r="B55" s="97" t="s">
        <v>486</v>
      </c>
      <c r="C55" s="41">
        <v>2085</v>
      </c>
      <c r="D55" s="13">
        <v>751121.03</v>
      </c>
      <c r="E55" s="13">
        <v>59730</v>
      </c>
      <c r="F55" s="20"/>
      <c r="G55" s="13">
        <v>86687</v>
      </c>
      <c r="H55" s="13">
        <v>0</v>
      </c>
      <c r="I55" s="13">
        <v>0</v>
      </c>
      <c r="J55" s="13">
        <v>70726</v>
      </c>
      <c r="K55" s="13">
        <v>84542</v>
      </c>
      <c r="L55" s="13">
        <v>0</v>
      </c>
      <c r="M55" s="13">
        <v>0</v>
      </c>
      <c r="N55" s="13">
        <f t="shared" si="0"/>
        <v>1052806.03</v>
      </c>
      <c r="O55" s="13">
        <v>410</v>
      </c>
      <c r="P55" s="13">
        <f t="shared" si="1"/>
        <v>2567.8195853658535</v>
      </c>
      <c r="Q55" s="12" t="s">
        <v>413</v>
      </c>
      <c r="R55" s="12">
        <v>54755</v>
      </c>
      <c r="S55" s="12">
        <v>32281</v>
      </c>
      <c r="T55" s="12">
        <v>0</v>
      </c>
      <c r="U55" s="12">
        <v>1273</v>
      </c>
      <c r="V55" s="12">
        <v>0</v>
      </c>
      <c r="W55" s="12">
        <v>0</v>
      </c>
      <c r="X55" s="12">
        <v>0</v>
      </c>
      <c r="Y55" s="12">
        <v>100824</v>
      </c>
      <c r="Z55" s="20"/>
      <c r="AA55" s="98"/>
      <c r="AB55" s="99"/>
    </row>
    <row r="56" spans="1:28" ht="12">
      <c r="A56" s="41">
        <v>44</v>
      </c>
      <c r="B56" s="97" t="s">
        <v>487</v>
      </c>
      <c r="C56" s="41">
        <v>2017</v>
      </c>
      <c r="D56" s="13">
        <v>678780.9</v>
      </c>
      <c r="E56" s="13">
        <v>0</v>
      </c>
      <c r="F56" s="20"/>
      <c r="G56" s="13">
        <v>47599</v>
      </c>
      <c r="H56" s="13">
        <v>0</v>
      </c>
      <c r="I56" s="13">
        <v>0</v>
      </c>
      <c r="J56" s="13">
        <v>48878</v>
      </c>
      <c r="K56" s="13">
        <v>85110</v>
      </c>
      <c r="L56" s="13">
        <v>0</v>
      </c>
      <c r="M56" s="13">
        <v>0</v>
      </c>
      <c r="N56" s="13">
        <f t="shared" si="0"/>
        <v>860367.9</v>
      </c>
      <c r="O56" s="13">
        <v>360</v>
      </c>
      <c r="P56" s="13">
        <f t="shared" si="1"/>
        <v>2389.9108333333334</v>
      </c>
      <c r="Q56" s="12" t="s">
        <v>413</v>
      </c>
      <c r="R56" s="12">
        <v>42975</v>
      </c>
      <c r="S56" s="12">
        <v>19854</v>
      </c>
      <c r="T56" s="12">
        <v>0</v>
      </c>
      <c r="U56" s="12">
        <v>1250</v>
      </c>
      <c r="V56" s="12">
        <v>0</v>
      </c>
      <c r="W56" s="12">
        <v>0</v>
      </c>
      <c r="X56" s="12">
        <v>0</v>
      </c>
      <c r="Y56" s="12">
        <v>68273</v>
      </c>
      <c r="Z56" s="20"/>
      <c r="AA56" s="98"/>
      <c r="AB56" s="99"/>
    </row>
    <row r="57" spans="1:28" ht="12">
      <c r="A57" s="41">
        <v>45</v>
      </c>
      <c r="B57" s="97" t="s">
        <v>488</v>
      </c>
      <c r="C57" s="41">
        <v>2019</v>
      </c>
      <c r="D57" s="13">
        <v>531240.78</v>
      </c>
      <c r="E57" s="13">
        <v>0</v>
      </c>
      <c r="F57" s="20"/>
      <c r="G57" s="13">
        <v>24160</v>
      </c>
      <c r="H57" s="13">
        <v>0</v>
      </c>
      <c r="I57" s="13">
        <v>0</v>
      </c>
      <c r="J57" s="13">
        <v>46224</v>
      </c>
      <c r="K57" s="13">
        <v>78340</v>
      </c>
      <c r="L57" s="13">
        <v>0</v>
      </c>
      <c r="M57" s="13">
        <v>0</v>
      </c>
      <c r="N57" s="13">
        <f t="shared" si="0"/>
        <v>679964.78</v>
      </c>
      <c r="O57" s="13">
        <v>282</v>
      </c>
      <c r="P57" s="13">
        <f t="shared" si="1"/>
        <v>2411.2226241134754</v>
      </c>
      <c r="Q57" s="12" t="s">
        <v>413</v>
      </c>
      <c r="R57" s="12">
        <v>38212</v>
      </c>
      <c r="S57" s="12">
        <v>18536</v>
      </c>
      <c r="T57" s="12">
        <v>0</v>
      </c>
      <c r="U57" s="12">
        <v>1211</v>
      </c>
      <c r="V57" s="12">
        <v>0</v>
      </c>
      <c r="W57" s="12">
        <v>0</v>
      </c>
      <c r="X57" s="12">
        <v>0</v>
      </c>
      <c r="Y57" s="12">
        <v>38202</v>
      </c>
      <c r="Z57" s="20"/>
      <c r="AA57" s="98"/>
      <c r="AB57" s="99"/>
    </row>
    <row r="58" spans="1:28" ht="22.5">
      <c r="A58" s="41">
        <v>46</v>
      </c>
      <c r="B58" s="97" t="s">
        <v>489</v>
      </c>
      <c r="C58" s="41">
        <v>3302</v>
      </c>
      <c r="D58" s="13">
        <v>464474.38</v>
      </c>
      <c r="E58" s="13">
        <v>83195</v>
      </c>
      <c r="F58" s="20"/>
      <c r="G58" s="13">
        <v>23281</v>
      </c>
      <c r="H58" s="13">
        <v>0</v>
      </c>
      <c r="I58" s="13">
        <v>0</v>
      </c>
      <c r="J58" s="13">
        <v>26450</v>
      </c>
      <c r="K58" s="13">
        <v>83737</v>
      </c>
      <c r="L58" s="13">
        <v>0</v>
      </c>
      <c r="M58" s="13">
        <v>0</v>
      </c>
      <c r="N58" s="13">
        <f t="shared" si="0"/>
        <v>681137.38</v>
      </c>
      <c r="O58" s="13">
        <v>251</v>
      </c>
      <c r="P58" s="13">
        <f t="shared" si="1"/>
        <v>2713.6947410358566</v>
      </c>
      <c r="Q58" s="12" t="s">
        <v>413</v>
      </c>
      <c r="R58" s="12">
        <v>33846</v>
      </c>
      <c r="S58" s="12">
        <v>31495</v>
      </c>
      <c r="T58" s="12">
        <v>0</v>
      </c>
      <c r="U58" s="12">
        <v>1196</v>
      </c>
      <c r="V58" s="12">
        <v>0</v>
      </c>
      <c r="W58" s="12">
        <v>0</v>
      </c>
      <c r="X58" s="12">
        <v>0</v>
      </c>
      <c r="Y58" s="12">
        <v>38046</v>
      </c>
      <c r="Z58" s="20"/>
      <c r="AA58" s="98"/>
      <c r="AB58" s="99"/>
    </row>
    <row r="59" spans="1:28" ht="22.5">
      <c r="A59" s="41">
        <v>47</v>
      </c>
      <c r="B59" s="97" t="s">
        <v>490</v>
      </c>
      <c r="C59" s="41">
        <v>3305</v>
      </c>
      <c r="D59" s="13">
        <v>535410.26</v>
      </c>
      <c r="E59" s="13">
        <v>0</v>
      </c>
      <c r="F59" s="20"/>
      <c r="G59" s="13">
        <v>24271</v>
      </c>
      <c r="H59" s="13">
        <v>0</v>
      </c>
      <c r="I59" s="13">
        <v>0</v>
      </c>
      <c r="J59" s="13">
        <v>29658</v>
      </c>
      <c r="K59" s="13">
        <v>77805</v>
      </c>
      <c r="L59" s="13">
        <v>0</v>
      </c>
      <c r="M59" s="13">
        <v>0</v>
      </c>
      <c r="N59" s="13">
        <f t="shared" si="0"/>
        <v>667144.26</v>
      </c>
      <c r="O59" s="13">
        <v>284</v>
      </c>
      <c r="P59" s="13">
        <f t="shared" si="1"/>
        <v>2349.0995070422537</v>
      </c>
      <c r="Q59" s="12" t="s">
        <v>413</v>
      </c>
      <c r="R59" s="12">
        <v>35480</v>
      </c>
      <c r="S59" s="12">
        <v>14325</v>
      </c>
      <c r="T59" s="12">
        <v>0</v>
      </c>
      <c r="U59" s="12">
        <v>1212</v>
      </c>
      <c r="V59" s="12">
        <v>0</v>
      </c>
      <c r="W59" s="12">
        <v>0</v>
      </c>
      <c r="X59" s="12">
        <v>0</v>
      </c>
      <c r="Y59" s="12">
        <v>41490</v>
      </c>
      <c r="Z59" s="20"/>
      <c r="AA59" s="98"/>
      <c r="AB59" s="99"/>
    </row>
    <row r="60" spans="1:28" ht="22.5">
      <c r="A60" s="41">
        <v>48</v>
      </c>
      <c r="B60" s="97" t="s">
        <v>491</v>
      </c>
      <c r="C60" s="41">
        <v>3501</v>
      </c>
      <c r="D60" s="13">
        <v>403848.8</v>
      </c>
      <c r="E60" s="13">
        <v>36265</v>
      </c>
      <c r="F60" s="20"/>
      <c r="G60" s="13">
        <v>15166</v>
      </c>
      <c r="H60" s="13">
        <v>0</v>
      </c>
      <c r="I60" s="13">
        <v>0</v>
      </c>
      <c r="J60" s="13">
        <v>26761</v>
      </c>
      <c r="K60" s="13">
        <v>95655</v>
      </c>
      <c r="L60" s="13">
        <v>0</v>
      </c>
      <c r="M60" s="13">
        <v>0</v>
      </c>
      <c r="N60" s="13">
        <f t="shared" si="0"/>
        <v>577695.8</v>
      </c>
      <c r="O60" s="13">
        <v>219</v>
      </c>
      <c r="P60" s="13">
        <f t="shared" si="1"/>
        <v>2637.880365296804</v>
      </c>
      <c r="Q60" s="12" t="s">
        <v>413</v>
      </c>
      <c r="R60" s="12">
        <v>34843</v>
      </c>
      <c r="S60" s="12">
        <v>14113</v>
      </c>
      <c r="T60" s="12">
        <v>0</v>
      </c>
      <c r="U60" s="12">
        <v>1178</v>
      </c>
      <c r="V60" s="12">
        <v>0</v>
      </c>
      <c r="W60" s="12">
        <v>0</v>
      </c>
      <c r="X60" s="12">
        <v>0</v>
      </c>
      <c r="Y60" s="12">
        <v>28148</v>
      </c>
      <c r="Z60" s="20"/>
      <c r="AA60" s="98"/>
      <c r="AB60" s="99"/>
    </row>
    <row r="61" spans="1:28" ht="12">
      <c r="A61" s="41">
        <v>49</v>
      </c>
      <c r="B61" s="97" t="s">
        <v>492</v>
      </c>
      <c r="C61" s="41">
        <v>3511</v>
      </c>
      <c r="D61" s="13">
        <v>597837.27</v>
      </c>
      <c r="E61" s="13">
        <v>50131</v>
      </c>
      <c r="F61" s="20"/>
      <c r="G61" s="13">
        <v>54021</v>
      </c>
      <c r="H61" s="13">
        <v>0</v>
      </c>
      <c r="I61" s="13">
        <v>0</v>
      </c>
      <c r="J61" s="13">
        <v>43838</v>
      </c>
      <c r="K61" s="13">
        <v>78789</v>
      </c>
      <c r="L61" s="13">
        <v>0</v>
      </c>
      <c r="M61" s="13">
        <v>0</v>
      </c>
      <c r="N61" s="13">
        <f t="shared" si="0"/>
        <v>824616.27</v>
      </c>
      <c r="O61" s="13">
        <v>318</v>
      </c>
      <c r="P61" s="13">
        <f t="shared" si="1"/>
        <v>2593.132924528302</v>
      </c>
      <c r="Q61" s="12" t="s">
        <v>413</v>
      </c>
      <c r="R61" s="12">
        <v>43710</v>
      </c>
      <c r="S61" s="12">
        <v>92112</v>
      </c>
      <c r="T61" s="12">
        <v>0</v>
      </c>
      <c r="U61" s="12">
        <v>1229</v>
      </c>
      <c r="V61" s="12">
        <v>0</v>
      </c>
      <c r="W61" s="12">
        <v>0</v>
      </c>
      <c r="X61" s="12">
        <v>0</v>
      </c>
      <c r="Y61" s="12">
        <v>66486</v>
      </c>
      <c r="Z61" s="20"/>
      <c r="AA61" s="98"/>
      <c r="AB61" s="99"/>
    </row>
    <row r="62" spans="1:28" ht="22.5">
      <c r="A62" s="41">
        <v>50</v>
      </c>
      <c r="B62" s="97" t="s">
        <v>493</v>
      </c>
      <c r="C62" s="41">
        <v>3510</v>
      </c>
      <c r="D62" s="13">
        <v>394250.49</v>
      </c>
      <c r="E62" s="13">
        <v>33065</v>
      </c>
      <c r="F62" s="20"/>
      <c r="G62" s="13">
        <v>25762</v>
      </c>
      <c r="H62" s="13">
        <v>0</v>
      </c>
      <c r="I62" s="13">
        <v>0</v>
      </c>
      <c r="J62" s="13">
        <v>26862</v>
      </c>
      <c r="K62" s="13">
        <v>99484</v>
      </c>
      <c r="L62" s="13">
        <v>0</v>
      </c>
      <c r="M62" s="13">
        <v>0</v>
      </c>
      <c r="N62" s="13">
        <f t="shared" si="0"/>
        <v>579423.49</v>
      </c>
      <c r="O62" s="13">
        <v>213</v>
      </c>
      <c r="P62" s="13">
        <f t="shared" si="1"/>
        <v>2720.298075117371</v>
      </c>
      <c r="Q62" s="12" t="s">
        <v>413</v>
      </c>
      <c r="R62" s="12">
        <v>39080</v>
      </c>
      <c r="S62" s="12">
        <v>82195</v>
      </c>
      <c r="T62" s="12">
        <v>0</v>
      </c>
      <c r="U62" s="12">
        <v>1177</v>
      </c>
      <c r="V62" s="12">
        <v>0</v>
      </c>
      <c r="W62" s="12">
        <v>0</v>
      </c>
      <c r="X62" s="12">
        <v>0</v>
      </c>
      <c r="Y62" s="12">
        <v>31699</v>
      </c>
      <c r="Z62" s="20"/>
      <c r="AA62" s="98"/>
      <c r="AB62" s="99"/>
    </row>
    <row r="63" spans="1:28" ht="22.5">
      <c r="A63" s="41">
        <v>51</v>
      </c>
      <c r="B63" s="97" t="s">
        <v>494</v>
      </c>
      <c r="C63" s="41">
        <v>3502</v>
      </c>
      <c r="D63" s="13">
        <v>422391.27</v>
      </c>
      <c r="E63" s="13">
        <v>33065</v>
      </c>
      <c r="F63" s="20"/>
      <c r="G63" s="13">
        <v>1895</v>
      </c>
      <c r="H63" s="13">
        <v>0</v>
      </c>
      <c r="I63" s="13">
        <v>0</v>
      </c>
      <c r="J63" s="13">
        <v>32449</v>
      </c>
      <c r="K63" s="13">
        <v>94210</v>
      </c>
      <c r="L63" s="13">
        <v>0</v>
      </c>
      <c r="M63" s="13">
        <v>0</v>
      </c>
      <c r="N63" s="13">
        <f t="shared" si="0"/>
        <v>584010.27</v>
      </c>
      <c r="O63" s="13">
        <v>228</v>
      </c>
      <c r="P63" s="13">
        <f t="shared" si="1"/>
        <v>2561.448552631579</v>
      </c>
      <c r="Q63" s="12" t="s">
        <v>413</v>
      </c>
      <c r="R63" s="12">
        <v>35926</v>
      </c>
      <c r="S63" s="12">
        <v>13037</v>
      </c>
      <c r="T63" s="12">
        <v>0</v>
      </c>
      <c r="U63" s="12">
        <v>1182</v>
      </c>
      <c r="V63" s="12">
        <v>0</v>
      </c>
      <c r="W63" s="12">
        <v>0</v>
      </c>
      <c r="X63" s="12">
        <v>0</v>
      </c>
      <c r="Y63" s="12">
        <v>16218</v>
      </c>
      <c r="Z63" s="20"/>
      <c r="AA63" s="98"/>
      <c r="AB63" s="99"/>
    </row>
    <row r="64" spans="1:28" ht="22.5">
      <c r="A64" s="41">
        <v>52</v>
      </c>
      <c r="B64" s="97" t="s">
        <v>495</v>
      </c>
      <c r="C64" s="41">
        <v>3503</v>
      </c>
      <c r="D64" s="13">
        <v>372030.92</v>
      </c>
      <c r="E64" s="13">
        <v>36266</v>
      </c>
      <c r="F64" s="20"/>
      <c r="G64" s="13">
        <v>23586</v>
      </c>
      <c r="H64" s="13">
        <v>0</v>
      </c>
      <c r="I64" s="13">
        <v>0</v>
      </c>
      <c r="J64" s="13">
        <v>23544</v>
      </c>
      <c r="K64" s="13">
        <v>100948</v>
      </c>
      <c r="L64" s="13">
        <v>0</v>
      </c>
      <c r="M64" s="13">
        <v>0</v>
      </c>
      <c r="N64" s="13">
        <f t="shared" si="0"/>
        <v>556374.9199999999</v>
      </c>
      <c r="O64" s="13">
        <v>199</v>
      </c>
      <c r="P64" s="13">
        <f t="shared" si="1"/>
        <v>2795.8538693467335</v>
      </c>
      <c r="Q64" s="12" t="s">
        <v>413</v>
      </c>
      <c r="R64" s="12">
        <v>34534</v>
      </c>
      <c r="S64" s="12">
        <v>13102</v>
      </c>
      <c r="T64" s="12">
        <v>0</v>
      </c>
      <c r="U64" s="12">
        <v>1169</v>
      </c>
      <c r="V64" s="12">
        <v>0</v>
      </c>
      <c r="W64" s="12">
        <v>0</v>
      </c>
      <c r="X64" s="12">
        <v>0</v>
      </c>
      <c r="Y64" s="12">
        <v>35753</v>
      </c>
      <c r="Z64" s="20"/>
      <c r="AA64" s="98"/>
      <c r="AB64" s="99"/>
    </row>
    <row r="65" spans="1:28" ht="22.5">
      <c r="A65" s="41">
        <v>53</v>
      </c>
      <c r="B65" s="97" t="s">
        <v>496</v>
      </c>
      <c r="C65" s="41">
        <v>3304</v>
      </c>
      <c r="D65" s="13">
        <v>221293.87</v>
      </c>
      <c r="E65" s="13">
        <v>0</v>
      </c>
      <c r="F65" s="20"/>
      <c r="G65" s="13">
        <v>21446</v>
      </c>
      <c r="H65" s="13">
        <v>0</v>
      </c>
      <c r="I65" s="13">
        <v>0</v>
      </c>
      <c r="J65" s="13">
        <v>28523</v>
      </c>
      <c r="K65" s="13">
        <v>112122</v>
      </c>
      <c r="L65" s="13">
        <v>0</v>
      </c>
      <c r="M65" s="13">
        <v>0</v>
      </c>
      <c r="N65" s="13">
        <f t="shared" si="0"/>
        <v>383384.87</v>
      </c>
      <c r="O65" s="13">
        <v>118</v>
      </c>
      <c r="P65" s="13">
        <f t="shared" si="1"/>
        <v>3249.0243220338984</v>
      </c>
      <c r="Q65" s="12" t="s">
        <v>413</v>
      </c>
      <c r="R65" s="12">
        <v>36173</v>
      </c>
      <c r="S65" s="12">
        <v>11990</v>
      </c>
      <c r="T65" s="12">
        <v>0</v>
      </c>
      <c r="U65" s="12">
        <v>1129</v>
      </c>
      <c r="V65" s="12">
        <v>0</v>
      </c>
      <c r="W65" s="12">
        <v>0</v>
      </c>
      <c r="X65" s="12">
        <v>0</v>
      </c>
      <c r="Y65" s="12">
        <v>26913</v>
      </c>
      <c r="Z65" s="20"/>
      <c r="AA65" s="98"/>
      <c r="AB65" s="99"/>
    </row>
    <row r="66" spans="1:28" ht="22.5">
      <c r="A66" s="41">
        <v>54</v>
      </c>
      <c r="B66" s="97" t="s">
        <v>497</v>
      </c>
      <c r="C66" s="41">
        <v>3516</v>
      </c>
      <c r="D66" s="13">
        <v>348323.11</v>
      </c>
      <c r="E66" s="13">
        <v>51199</v>
      </c>
      <c r="F66" s="20"/>
      <c r="G66" s="13">
        <v>31163</v>
      </c>
      <c r="H66" s="13">
        <v>0</v>
      </c>
      <c r="I66" s="13">
        <v>0</v>
      </c>
      <c r="J66" s="13">
        <v>35946</v>
      </c>
      <c r="K66" s="13">
        <v>109557</v>
      </c>
      <c r="L66" s="13">
        <v>0</v>
      </c>
      <c r="M66" s="13">
        <v>0</v>
      </c>
      <c r="N66" s="13">
        <f t="shared" si="0"/>
        <v>576188.11</v>
      </c>
      <c r="O66" s="13">
        <v>193</v>
      </c>
      <c r="P66" s="13">
        <f t="shared" si="1"/>
        <v>2985.430621761658</v>
      </c>
      <c r="Q66" s="12" t="s">
        <v>415</v>
      </c>
      <c r="R66" s="12">
        <v>37995</v>
      </c>
      <c r="S66" s="12">
        <v>76811</v>
      </c>
      <c r="T66" s="12">
        <v>0</v>
      </c>
      <c r="U66" s="12">
        <v>1166</v>
      </c>
      <c r="V66" s="12">
        <v>0</v>
      </c>
      <c r="W66" s="12">
        <v>0</v>
      </c>
      <c r="X66" s="12">
        <v>0</v>
      </c>
      <c r="Y66" s="12">
        <v>34883</v>
      </c>
      <c r="Z66" s="20"/>
      <c r="AA66" s="98"/>
      <c r="AB66" s="99"/>
    </row>
    <row r="67" spans="1:28" ht="22.5">
      <c r="A67" s="41">
        <v>55</v>
      </c>
      <c r="B67" s="97" t="s">
        <v>498</v>
      </c>
      <c r="C67" s="41">
        <v>3300</v>
      </c>
      <c r="D67" s="13">
        <v>465051.44</v>
      </c>
      <c r="E67" s="13">
        <v>33065</v>
      </c>
      <c r="F67" s="20"/>
      <c r="G67" s="13">
        <v>23596</v>
      </c>
      <c r="H67" s="13">
        <v>0</v>
      </c>
      <c r="I67" s="13">
        <v>0</v>
      </c>
      <c r="J67" s="13">
        <v>31606</v>
      </c>
      <c r="K67" s="13">
        <v>81219</v>
      </c>
      <c r="L67" s="13">
        <v>0</v>
      </c>
      <c r="M67" s="13">
        <v>0</v>
      </c>
      <c r="N67" s="13">
        <f t="shared" si="0"/>
        <v>634537.44</v>
      </c>
      <c r="O67" s="13">
        <v>251</v>
      </c>
      <c r="P67" s="13">
        <f t="shared" si="1"/>
        <v>2528.0376095617526</v>
      </c>
      <c r="Q67" s="12" t="s">
        <v>413</v>
      </c>
      <c r="R67" s="12">
        <v>34872</v>
      </c>
      <c r="S67" s="12">
        <v>16428</v>
      </c>
      <c r="T67" s="12">
        <v>0</v>
      </c>
      <c r="U67" s="12">
        <v>1196</v>
      </c>
      <c r="V67" s="12">
        <v>0</v>
      </c>
      <c r="W67" s="12">
        <v>0</v>
      </c>
      <c r="X67" s="12">
        <v>0</v>
      </c>
      <c r="Y67" s="12">
        <v>37583</v>
      </c>
      <c r="Z67" s="20"/>
      <c r="AA67" s="98"/>
      <c r="AB67" s="99"/>
    </row>
    <row r="68" spans="1:28" ht="22.5">
      <c r="A68" s="41">
        <v>56</v>
      </c>
      <c r="B68" s="97" t="s">
        <v>499</v>
      </c>
      <c r="C68" s="41">
        <v>3314</v>
      </c>
      <c r="D68" s="13">
        <v>433450.71</v>
      </c>
      <c r="E68" s="13">
        <v>33065</v>
      </c>
      <c r="F68" s="20"/>
      <c r="G68" s="13">
        <v>24858</v>
      </c>
      <c r="H68" s="13">
        <v>0</v>
      </c>
      <c r="I68" s="13">
        <v>0</v>
      </c>
      <c r="J68" s="13">
        <v>27581</v>
      </c>
      <c r="K68" s="13">
        <v>89350</v>
      </c>
      <c r="L68" s="13">
        <v>0</v>
      </c>
      <c r="M68" s="13">
        <v>0</v>
      </c>
      <c r="N68" s="13">
        <f t="shared" si="0"/>
        <v>608304.71</v>
      </c>
      <c r="O68" s="13">
        <v>234</v>
      </c>
      <c r="P68" s="13">
        <f t="shared" si="1"/>
        <v>2599.5927777777774</v>
      </c>
      <c r="Q68" s="12" t="s">
        <v>413</v>
      </c>
      <c r="R68" s="12">
        <v>37042</v>
      </c>
      <c r="S68" s="12">
        <v>21743</v>
      </c>
      <c r="T68" s="12">
        <v>0</v>
      </c>
      <c r="U68" s="12">
        <v>1187</v>
      </c>
      <c r="V68" s="12">
        <v>0</v>
      </c>
      <c r="W68" s="12">
        <v>0</v>
      </c>
      <c r="X68" s="12">
        <v>0</v>
      </c>
      <c r="Y68" s="12">
        <v>35660</v>
      </c>
      <c r="Z68" s="20"/>
      <c r="AA68" s="98"/>
      <c r="AB68" s="99"/>
    </row>
    <row r="69" spans="1:28" ht="22.5">
      <c r="A69" s="41">
        <v>57</v>
      </c>
      <c r="B69" s="97" t="s">
        <v>500</v>
      </c>
      <c r="C69" s="41">
        <v>3313</v>
      </c>
      <c r="D69" s="13">
        <v>517700.61</v>
      </c>
      <c r="E69" s="13">
        <v>33065</v>
      </c>
      <c r="F69" s="20"/>
      <c r="G69" s="13">
        <v>11598</v>
      </c>
      <c r="H69" s="13">
        <v>0</v>
      </c>
      <c r="I69" s="13">
        <v>0</v>
      </c>
      <c r="J69" s="13">
        <v>31676</v>
      </c>
      <c r="K69" s="13">
        <v>86767</v>
      </c>
      <c r="L69" s="13">
        <v>0</v>
      </c>
      <c r="M69" s="13">
        <v>0</v>
      </c>
      <c r="N69" s="13">
        <f t="shared" si="0"/>
        <v>680806.61</v>
      </c>
      <c r="O69" s="13">
        <v>279</v>
      </c>
      <c r="P69" s="13">
        <f t="shared" si="1"/>
        <v>2440.1670609318994</v>
      </c>
      <c r="Q69" s="12" t="s">
        <v>413</v>
      </c>
      <c r="R69" s="12">
        <v>35931</v>
      </c>
      <c r="S69" s="12">
        <v>15448</v>
      </c>
      <c r="T69" s="12">
        <v>0</v>
      </c>
      <c r="U69" s="12">
        <v>1209</v>
      </c>
      <c r="V69" s="12">
        <v>0</v>
      </c>
      <c r="W69" s="12">
        <v>0</v>
      </c>
      <c r="X69" s="12">
        <v>0</v>
      </c>
      <c r="Y69" s="12">
        <v>27900</v>
      </c>
      <c r="Z69" s="20"/>
      <c r="AA69" s="98"/>
      <c r="AB69" s="99"/>
    </row>
    <row r="70" spans="1:28" ht="12">
      <c r="A70" s="41">
        <v>58</v>
      </c>
      <c r="B70" s="97" t="s">
        <v>501</v>
      </c>
      <c r="C70" s="41">
        <v>3514</v>
      </c>
      <c r="D70" s="13">
        <v>336724.22</v>
      </c>
      <c r="E70" s="13">
        <v>32000</v>
      </c>
      <c r="F70" s="20"/>
      <c r="G70" s="13">
        <v>21546</v>
      </c>
      <c r="H70" s="13">
        <v>0</v>
      </c>
      <c r="I70" s="13">
        <v>0</v>
      </c>
      <c r="J70" s="13">
        <v>36315</v>
      </c>
      <c r="K70" s="13">
        <v>110036</v>
      </c>
      <c r="L70" s="13">
        <v>0</v>
      </c>
      <c r="M70" s="13">
        <v>0</v>
      </c>
      <c r="N70" s="13">
        <f t="shared" si="0"/>
        <v>536621.22</v>
      </c>
      <c r="O70" s="13">
        <v>181</v>
      </c>
      <c r="P70" s="13">
        <f t="shared" si="1"/>
        <v>2964.7581215469613</v>
      </c>
      <c r="Q70" s="12" t="s">
        <v>413</v>
      </c>
      <c r="R70" s="12">
        <v>37843</v>
      </c>
      <c r="S70" s="12">
        <v>74167</v>
      </c>
      <c r="T70" s="12">
        <v>0</v>
      </c>
      <c r="U70" s="12">
        <v>1161</v>
      </c>
      <c r="V70" s="12">
        <v>0</v>
      </c>
      <c r="W70" s="12">
        <v>0</v>
      </c>
      <c r="X70" s="12">
        <v>0</v>
      </c>
      <c r="Y70" s="12">
        <v>26514</v>
      </c>
      <c r="Z70" s="20"/>
      <c r="AA70" s="98"/>
      <c r="AB70" s="99"/>
    </row>
    <row r="71" spans="1:28" ht="22.5">
      <c r="A71" s="41">
        <v>59</v>
      </c>
      <c r="B71" s="97" t="s">
        <v>502</v>
      </c>
      <c r="C71" s="41">
        <v>2020</v>
      </c>
      <c r="D71" s="13">
        <v>380912.7</v>
      </c>
      <c r="E71" s="13">
        <v>66129</v>
      </c>
      <c r="F71" s="20"/>
      <c r="G71" s="13">
        <v>37898</v>
      </c>
      <c r="H71" s="13">
        <v>0</v>
      </c>
      <c r="I71" s="13">
        <v>0</v>
      </c>
      <c r="J71" s="13">
        <v>35183</v>
      </c>
      <c r="K71" s="13">
        <v>74110</v>
      </c>
      <c r="L71" s="13">
        <v>0</v>
      </c>
      <c r="M71" s="13">
        <v>0</v>
      </c>
      <c r="N71" s="13">
        <f t="shared" si="0"/>
        <v>594232.7</v>
      </c>
      <c r="O71" s="13">
        <v>210</v>
      </c>
      <c r="P71" s="13">
        <f t="shared" si="1"/>
        <v>2829.6795238095237</v>
      </c>
      <c r="Q71" s="12" t="s">
        <v>413</v>
      </c>
      <c r="R71" s="12">
        <v>34574</v>
      </c>
      <c r="S71" s="12">
        <v>13596</v>
      </c>
      <c r="T71" s="12">
        <v>0</v>
      </c>
      <c r="U71" s="12">
        <v>1174</v>
      </c>
      <c r="V71" s="12">
        <v>0</v>
      </c>
      <c r="W71" s="12">
        <v>0</v>
      </c>
      <c r="X71" s="12">
        <v>0</v>
      </c>
      <c r="Y71" s="12">
        <v>50561</v>
      </c>
      <c r="Z71" s="20"/>
      <c r="AA71" s="98"/>
      <c r="AB71" s="99"/>
    </row>
    <row r="72" spans="1:28" ht="12">
      <c r="A72" s="41">
        <v>60</v>
      </c>
      <c r="B72" s="97" t="s">
        <v>503</v>
      </c>
      <c r="C72" s="41">
        <v>2058</v>
      </c>
      <c r="D72" s="13">
        <v>558697.48</v>
      </c>
      <c r="E72" s="13">
        <v>46932</v>
      </c>
      <c r="F72" s="20"/>
      <c r="G72" s="13">
        <v>61583</v>
      </c>
      <c r="H72" s="13">
        <v>0</v>
      </c>
      <c r="I72" s="13">
        <v>0</v>
      </c>
      <c r="J72" s="13">
        <v>82900</v>
      </c>
      <c r="K72" s="13">
        <v>81361</v>
      </c>
      <c r="L72" s="13">
        <v>0</v>
      </c>
      <c r="M72" s="13">
        <v>0</v>
      </c>
      <c r="N72" s="13">
        <f t="shared" si="0"/>
        <v>831473.48</v>
      </c>
      <c r="O72" s="13">
        <v>302</v>
      </c>
      <c r="P72" s="13">
        <f t="shared" si="1"/>
        <v>2753.223443708609</v>
      </c>
      <c r="Q72" s="12" t="s">
        <v>413</v>
      </c>
      <c r="R72" s="12">
        <v>38081</v>
      </c>
      <c r="S72" s="12">
        <v>22283</v>
      </c>
      <c r="T72" s="12">
        <v>0</v>
      </c>
      <c r="U72" s="12">
        <v>1219</v>
      </c>
      <c r="V72" s="12">
        <v>0</v>
      </c>
      <c r="W72" s="12">
        <v>0</v>
      </c>
      <c r="X72" s="12">
        <v>0</v>
      </c>
      <c r="Y72" s="12">
        <v>77793</v>
      </c>
      <c r="Z72" s="20"/>
      <c r="AA72" s="98"/>
      <c r="AB72" s="99"/>
    </row>
    <row r="73" spans="1:28" ht="12">
      <c r="A73" s="41">
        <v>61</v>
      </c>
      <c r="B73" s="97" t="s">
        <v>504</v>
      </c>
      <c r="C73" s="41">
        <v>2089</v>
      </c>
      <c r="D73" s="13">
        <v>764658.7</v>
      </c>
      <c r="E73" s="13">
        <v>70397</v>
      </c>
      <c r="F73" s="20"/>
      <c r="G73" s="13">
        <v>207744</v>
      </c>
      <c r="H73" s="13">
        <v>0</v>
      </c>
      <c r="I73" s="13">
        <v>0</v>
      </c>
      <c r="J73" s="13">
        <v>79076</v>
      </c>
      <c r="K73" s="13">
        <v>84288</v>
      </c>
      <c r="L73" s="13">
        <v>0</v>
      </c>
      <c r="M73" s="13">
        <v>0</v>
      </c>
      <c r="N73" s="13">
        <f t="shared" si="0"/>
        <v>1206163.7</v>
      </c>
      <c r="O73" s="13">
        <v>417</v>
      </c>
      <c r="P73" s="13">
        <f t="shared" si="1"/>
        <v>2892.4788968824937</v>
      </c>
      <c r="Q73" s="12" t="s">
        <v>413</v>
      </c>
      <c r="R73" s="12">
        <v>56105</v>
      </c>
      <c r="S73" s="12">
        <v>35131</v>
      </c>
      <c r="T73" s="12">
        <v>0</v>
      </c>
      <c r="U73" s="12">
        <v>1278</v>
      </c>
      <c r="V73" s="12">
        <v>0</v>
      </c>
      <c r="W73" s="12">
        <v>0</v>
      </c>
      <c r="X73" s="12">
        <v>0</v>
      </c>
      <c r="Y73" s="12">
        <v>222559</v>
      </c>
      <c r="Z73" s="20"/>
      <c r="AA73" s="98"/>
      <c r="AB73" s="99"/>
    </row>
    <row r="74" spans="1:28" ht="12">
      <c r="A74" s="41">
        <v>62</v>
      </c>
      <c r="B74" s="97" t="s">
        <v>505</v>
      </c>
      <c r="C74" s="41">
        <v>2024</v>
      </c>
      <c r="D74" s="13">
        <v>365498.98</v>
      </c>
      <c r="E74" s="13">
        <v>67195</v>
      </c>
      <c r="F74" s="20"/>
      <c r="G74" s="13">
        <v>15719</v>
      </c>
      <c r="H74" s="13">
        <v>0</v>
      </c>
      <c r="I74" s="13">
        <v>0</v>
      </c>
      <c r="J74" s="13">
        <v>30651</v>
      </c>
      <c r="K74" s="13">
        <v>81479</v>
      </c>
      <c r="L74" s="13">
        <v>0</v>
      </c>
      <c r="M74" s="13">
        <v>0</v>
      </c>
      <c r="N74" s="13">
        <f t="shared" si="0"/>
        <v>560542.98</v>
      </c>
      <c r="O74" s="13">
        <v>202</v>
      </c>
      <c r="P74" s="13">
        <f t="shared" si="1"/>
        <v>2774.965247524752</v>
      </c>
      <c r="Q74" s="12" t="s">
        <v>413</v>
      </c>
      <c r="R74" s="12">
        <v>34574</v>
      </c>
      <c r="S74" s="12">
        <v>13858</v>
      </c>
      <c r="T74" s="12">
        <v>0</v>
      </c>
      <c r="U74" s="12">
        <v>1170</v>
      </c>
      <c r="V74" s="12">
        <v>0</v>
      </c>
      <c r="W74" s="12">
        <v>0</v>
      </c>
      <c r="X74" s="12">
        <v>0</v>
      </c>
      <c r="Y74" s="12">
        <v>26136</v>
      </c>
      <c r="Z74" s="20"/>
      <c r="AA74" s="98"/>
      <c r="AB74" s="99"/>
    </row>
    <row r="75" spans="1:28" ht="12">
      <c r="A75" s="41">
        <v>63</v>
      </c>
      <c r="B75" s="97" t="s">
        <v>506</v>
      </c>
      <c r="C75" s="41">
        <v>2028</v>
      </c>
      <c r="D75" s="13">
        <v>426014.89</v>
      </c>
      <c r="E75" s="13">
        <v>0</v>
      </c>
      <c r="F75" s="20"/>
      <c r="G75" s="13">
        <v>91527</v>
      </c>
      <c r="H75" s="13">
        <v>0</v>
      </c>
      <c r="I75" s="13">
        <v>0</v>
      </c>
      <c r="J75" s="13">
        <v>41029</v>
      </c>
      <c r="K75" s="13">
        <v>78849</v>
      </c>
      <c r="L75" s="13">
        <v>0</v>
      </c>
      <c r="M75" s="13">
        <v>0</v>
      </c>
      <c r="N75" s="13">
        <f t="shared" si="0"/>
        <v>637419.89</v>
      </c>
      <c r="O75" s="13">
        <v>238</v>
      </c>
      <c r="P75" s="13">
        <f t="shared" si="1"/>
        <v>2678.234831932773</v>
      </c>
      <c r="Q75" s="12" t="s">
        <v>413</v>
      </c>
      <c r="R75" s="12">
        <v>38551</v>
      </c>
      <c r="S75" s="12">
        <v>17683</v>
      </c>
      <c r="T75" s="12">
        <v>0</v>
      </c>
      <c r="U75" s="12">
        <v>1186</v>
      </c>
      <c r="V75" s="12">
        <v>0</v>
      </c>
      <c r="W75" s="12">
        <v>0</v>
      </c>
      <c r="X75" s="12">
        <v>0</v>
      </c>
      <c r="Y75" s="12">
        <v>102544</v>
      </c>
      <c r="Z75" s="20"/>
      <c r="AA75" s="98"/>
      <c r="AB75" s="99"/>
    </row>
    <row r="76" spans="1:28" ht="22.5">
      <c r="A76" s="41">
        <v>64</v>
      </c>
      <c r="B76" s="97" t="s">
        <v>507</v>
      </c>
      <c r="C76" s="41">
        <v>2066</v>
      </c>
      <c r="D76" s="13">
        <v>475187.9</v>
      </c>
      <c r="E76" s="13">
        <v>41599</v>
      </c>
      <c r="F76" s="20"/>
      <c r="G76" s="13">
        <v>176784</v>
      </c>
      <c r="H76" s="13">
        <v>0</v>
      </c>
      <c r="I76" s="13">
        <v>0</v>
      </c>
      <c r="J76" s="13">
        <v>56333</v>
      </c>
      <c r="K76" s="13">
        <v>86582</v>
      </c>
      <c r="L76" s="13">
        <v>0</v>
      </c>
      <c r="M76" s="13">
        <v>0</v>
      </c>
      <c r="N76" s="13">
        <f t="shared" si="0"/>
        <v>836485.9</v>
      </c>
      <c r="O76" s="13">
        <v>259</v>
      </c>
      <c r="P76" s="13">
        <f t="shared" si="1"/>
        <v>3229.6752895752898</v>
      </c>
      <c r="Q76" s="12" t="s">
        <v>413</v>
      </c>
      <c r="R76" s="12">
        <v>40013</v>
      </c>
      <c r="S76" s="12">
        <v>98491</v>
      </c>
      <c r="T76" s="12">
        <v>0</v>
      </c>
      <c r="U76" s="12">
        <v>1199</v>
      </c>
      <c r="V76" s="12">
        <v>0</v>
      </c>
      <c r="W76" s="12">
        <v>0</v>
      </c>
      <c r="X76" s="12">
        <v>0</v>
      </c>
      <c r="Y76" s="12">
        <v>179048</v>
      </c>
      <c r="Z76" s="20"/>
      <c r="AA76" s="98"/>
      <c r="AB76" s="99"/>
    </row>
    <row r="77" spans="1:28" ht="12">
      <c r="A77" s="41">
        <v>65</v>
      </c>
      <c r="B77" s="97" t="s">
        <v>508</v>
      </c>
      <c r="C77" s="41">
        <v>2026</v>
      </c>
      <c r="D77" s="13">
        <v>318469.31</v>
      </c>
      <c r="E77" s="13">
        <v>51198</v>
      </c>
      <c r="F77" s="20"/>
      <c r="G77" s="13">
        <v>7103</v>
      </c>
      <c r="H77" s="13">
        <v>0</v>
      </c>
      <c r="I77" s="13">
        <v>0</v>
      </c>
      <c r="J77" s="13">
        <v>29642</v>
      </c>
      <c r="K77" s="13">
        <v>89776</v>
      </c>
      <c r="L77" s="13">
        <v>0</v>
      </c>
      <c r="M77" s="13">
        <v>0</v>
      </c>
      <c r="N77" s="13">
        <f>SUM(D77:M77)</f>
        <v>496188.31</v>
      </c>
      <c r="O77" s="13">
        <v>166</v>
      </c>
      <c r="P77" s="13">
        <f>IF(O77=0,0,IF(ISERROR(N77/O77),0,N77/O77))</f>
        <v>2989.086204819277</v>
      </c>
      <c r="Q77" s="12" t="s">
        <v>413</v>
      </c>
      <c r="R77" s="12">
        <v>34906</v>
      </c>
      <c r="S77" s="12">
        <v>20292</v>
      </c>
      <c r="T77" s="12">
        <v>0</v>
      </c>
      <c r="U77" s="12">
        <v>1153</v>
      </c>
      <c r="V77" s="12">
        <v>0</v>
      </c>
      <c r="W77" s="12">
        <v>0</v>
      </c>
      <c r="X77" s="12">
        <v>0</v>
      </c>
      <c r="Y77" s="12">
        <v>15877</v>
      </c>
      <c r="Z77" s="20"/>
      <c r="AA77" s="98"/>
      <c r="AB77" s="99"/>
    </row>
    <row r="78" spans="1:28" ht="22.5">
      <c r="A78" s="41">
        <v>66</v>
      </c>
      <c r="B78" s="97" t="s">
        <v>509</v>
      </c>
      <c r="C78" s="41">
        <v>2033</v>
      </c>
      <c r="D78" s="13">
        <v>353133.8</v>
      </c>
      <c r="E78" s="13">
        <v>44799</v>
      </c>
      <c r="F78" s="20"/>
      <c r="G78" s="13">
        <v>34579</v>
      </c>
      <c r="H78" s="13">
        <v>0</v>
      </c>
      <c r="I78" s="13">
        <v>0</v>
      </c>
      <c r="J78" s="13">
        <v>32807</v>
      </c>
      <c r="K78" s="13">
        <v>104275</v>
      </c>
      <c r="L78" s="13">
        <v>0</v>
      </c>
      <c r="M78" s="13">
        <v>0</v>
      </c>
      <c r="N78" s="13">
        <f>SUM(D78:M78)</f>
        <v>569593.8</v>
      </c>
      <c r="O78" s="13">
        <v>190</v>
      </c>
      <c r="P78" s="13">
        <f>IF(O78=0,0,IF(ISERROR(N78/O78),0,N78/O78))</f>
        <v>2997.8621052631584</v>
      </c>
      <c r="Q78" s="12" t="s">
        <v>413</v>
      </c>
      <c r="R78" s="12">
        <v>38120</v>
      </c>
      <c r="S78" s="12">
        <v>23934</v>
      </c>
      <c r="T78" s="12">
        <v>0</v>
      </c>
      <c r="U78" s="12">
        <v>1165</v>
      </c>
      <c r="V78" s="12">
        <v>0</v>
      </c>
      <c r="W78" s="12">
        <v>0</v>
      </c>
      <c r="X78" s="12">
        <v>0</v>
      </c>
      <c r="Y78" s="12">
        <v>41238</v>
      </c>
      <c r="Z78" s="20"/>
      <c r="AA78" s="98"/>
      <c r="AB78" s="99"/>
    </row>
    <row r="79" spans="1:28" ht="12">
      <c r="A79" s="41">
        <v>67</v>
      </c>
      <c r="B79" s="97" t="s">
        <v>510</v>
      </c>
      <c r="C79" s="41">
        <v>2088</v>
      </c>
      <c r="D79" s="13">
        <v>593543.08</v>
      </c>
      <c r="E79" s="13">
        <v>55465</v>
      </c>
      <c r="F79" s="20"/>
      <c r="G79" s="13">
        <v>103057</v>
      </c>
      <c r="H79" s="13">
        <v>0</v>
      </c>
      <c r="I79" s="13">
        <v>0</v>
      </c>
      <c r="J79" s="13">
        <v>57719</v>
      </c>
      <c r="K79" s="13">
        <v>96415</v>
      </c>
      <c r="L79" s="13">
        <v>0</v>
      </c>
      <c r="M79" s="13">
        <v>3589</v>
      </c>
      <c r="N79" s="13">
        <f>SUM(D79:M79)</f>
        <v>909788.08</v>
      </c>
      <c r="O79" s="13">
        <v>316</v>
      </c>
      <c r="P79" s="13">
        <f>IF(O79=0,0,IF(ISERROR(N79/O79),0,N79/O79))</f>
        <v>2879.0762025316453</v>
      </c>
      <c r="Q79" s="12" t="s">
        <v>413</v>
      </c>
      <c r="R79" s="12">
        <v>48708</v>
      </c>
      <c r="S79" s="12">
        <v>163562</v>
      </c>
      <c r="T79" s="12">
        <v>0</v>
      </c>
      <c r="U79" s="12">
        <v>1228</v>
      </c>
      <c r="V79" s="12">
        <v>0</v>
      </c>
      <c r="W79" s="12">
        <v>0</v>
      </c>
      <c r="X79" s="12">
        <v>0</v>
      </c>
      <c r="Y79" s="12">
        <v>102334</v>
      </c>
      <c r="Z79" s="20"/>
      <c r="AA79" s="98"/>
      <c r="AB79" s="99"/>
    </row>
    <row r="80" spans="2:28" ht="12.75" thickBot="1">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row>
    <row r="81" spans="2:28" ht="13.5" thickBot="1" thickTop="1">
      <c r="B81" s="611" t="s">
        <v>416</v>
      </c>
      <c r="C81" s="611"/>
      <c r="D81" s="32">
        <f>SUM(D13:D80)</f>
        <v>35264188.86</v>
      </c>
      <c r="E81" s="32">
        <f>SUM(E13:E80)</f>
        <v>3056844</v>
      </c>
      <c r="F81" s="100"/>
      <c r="G81" s="32">
        <f aca="true" t="shared" si="2" ref="G81:M81">SUM(G13:G80)</f>
        <v>2965268</v>
      </c>
      <c r="H81" s="32">
        <f t="shared" si="2"/>
        <v>0</v>
      </c>
      <c r="I81" s="32">
        <f t="shared" si="2"/>
        <v>0</v>
      </c>
      <c r="J81" s="32">
        <f t="shared" si="2"/>
        <v>3086451</v>
      </c>
      <c r="K81" s="32">
        <f t="shared" si="2"/>
        <v>6176328</v>
      </c>
      <c r="L81" s="32">
        <f t="shared" si="2"/>
        <v>0</v>
      </c>
      <c r="M81" s="32">
        <f t="shared" si="2"/>
        <v>18930</v>
      </c>
      <c r="N81" s="32">
        <f>SUM(D81:M81)</f>
        <v>50568009.86</v>
      </c>
      <c r="O81" s="32">
        <f>SUM(O13:O80)</f>
        <v>19004.666666666664</v>
      </c>
      <c r="P81" s="32">
        <f>IF(O81=0,0,IF(ISERROR(N81/O81),0,N81/O81))</f>
        <v>2660.82066825692</v>
      </c>
      <c r="Q81" s="101"/>
      <c r="R81" s="32">
        <f aca="true" t="shared" si="3" ref="R81:Y81">SUM(R13:R80)</f>
        <v>2800320</v>
      </c>
      <c r="S81" s="32">
        <f t="shared" si="3"/>
        <v>2793243</v>
      </c>
      <c r="T81" s="32">
        <f t="shared" si="3"/>
        <v>0</v>
      </c>
      <c r="U81" s="32">
        <f t="shared" si="3"/>
        <v>81152</v>
      </c>
      <c r="V81" s="32">
        <f t="shared" si="3"/>
        <v>0</v>
      </c>
      <c r="W81" s="32">
        <f t="shared" si="3"/>
        <v>0</v>
      </c>
      <c r="X81" s="32">
        <f t="shared" si="3"/>
        <v>0</v>
      </c>
      <c r="Y81" s="32">
        <f t="shared" si="3"/>
        <v>3809129</v>
      </c>
      <c r="Z81" s="100"/>
      <c r="AA81" s="102"/>
      <c r="AB81" s="102"/>
    </row>
    <row r="82" ht="12.75" thickTop="1"/>
    <row r="83" spans="2:3" ht="12">
      <c r="B83" s="666" t="s">
        <v>417</v>
      </c>
      <c r="C83" s="666"/>
    </row>
    <row r="84" spans="1:28" ht="12">
      <c r="A84" s="41">
        <v>1</v>
      </c>
      <c r="B84" s="97" t="s">
        <v>511</v>
      </c>
      <c r="C84" s="41">
        <v>4015</v>
      </c>
      <c r="D84" s="13">
        <v>3213567</v>
      </c>
      <c r="E84" s="13">
        <v>0</v>
      </c>
      <c r="F84" s="13">
        <v>0</v>
      </c>
      <c r="G84" s="13">
        <v>496312</v>
      </c>
      <c r="H84" s="13">
        <v>0</v>
      </c>
      <c r="I84" s="13">
        <v>0</v>
      </c>
      <c r="J84" s="13">
        <v>272417</v>
      </c>
      <c r="K84" s="13">
        <v>283594</v>
      </c>
      <c r="L84" s="13">
        <v>23696</v>
      </c>
      <c r="M84" s="13">
        <v>0</v>
      </c>
      <c r="N84" s="13">
        <f aca="true" t="shared" si="4" ref="N84:N96">SUM(D84:M84)</f>
        <v>4289586</v>
      </c>
      <c r="O84" s="13">
        <v>1278</v>
      </c>
      <c r="P84" s="13">
        <f aca="true" t="shared" si="5" ref="P84:P96">IF(O84=0,0,IF(ISERROR(N84/O84),0,N84/O84))</f>
        <v>3356.4835680751175</v>
      </c>
      <c r="Q84" s="12" t="s">
        <v>415</v>
      </c>
      <c r="R84" s="12">
        <v>178568</v>
      </c>
      <c r="S84" s="12">
        <v>232049</v>
      </c>
      <c r="T84" s="12">
        <v>1700</v>
      </c>
      <c r="U84" s="12">
        <v>2137</v>
      </c>
      <c r="V84" s="12">
        <v>0</v>
      </c>
      <c r="W84" s="12">
        <v>0</v>
      </c>
      <c r="X84" s="12">
        <v>0</v>
      </c>
      <c r="Y84" s="12">
        <v>576348</v>
      </c>
      <c r="Z84" s="13">
        <v>0</v>
      </c>
      <c r="AA84" s="98"/>
      <c r="AB84" s="99"/>
    </row>
    <row r="85" spans="1:28" ht="22.5">
      <c r="A85" s="41">
        <v>2</v>
      </c>
      <c r="B85" s="97" t="s">
        <v>512</v>
      </c>
      <c r="C85" s="41">
        <v>4660</v>
      </c>
      <c r="D85" s="13">
        <v>2693014.69</v>
      </c>
      <c r="E85" s="13">
        <v>0</v>
      </c>
      <c r="F85" s="13">
        <v>523455</v>
      </c>
      <c r="G85" s="13">
        <v>251910</v>
      </c>
      <c r="H85" s="13">
        <v>0</v>
      </c>
      <c r="I85" s="13">
        <v>0</v>
      </c>
      <c r="J85" s="13">
        <v>194830</v>
      </c>
      <c r="K85" s="13">
        <v>328436</v>
      </c>
      <c r="L85" s="13">
        <v>-54425</v>
      </c>
      <c r="M85" s="13">
        <v>0</v>
      </c>
      <c r="N85" s="13">
        <f t="shared" si="4"/>
        <v>3937220.69</v>
      </c>
      <c r="O85" s="13">
        <v>1174</v>
      </c>
      <c r="P85" s="13">
        <f t="shared" si="5"/>
        <v>3353.6803151618396</v>
      </c>
      <c r="Q85" s="12" t="s">
        <v>415</v>
      </c>
      <c r="R85" s="12">
        <v>199745</v>
      </c>
      <c r="S85" s="12">
        <v>603630</v>
      </c>
      <c r="T85" s="12">
        <v>30000</v>
      </c>
      <c r="U85" s="12">
        <v>2087</v>
      </c>
      <c r="V85" s="12">
        <v>0</v>
      </c>
      <c r="W85" s="12">
        <v>0</v>
      </c>
      <c r="X85" s="12">
        <v>0</v>
      </c>
      <c r="Y85" s="12">
        <v>235617</v>
      </c>
      <c r="Z85" s="13">
        <v>146</v>
      </c>
      <c r="AA85" s="98"/>
      <c r="AB85" s="99"/>
    </row>
    <row r="86" spans="1:28" ht="12">
      <c r="A86" s="41">
        <v>3</v>
      </c>
      <c r="B86" s="97" t="s">
        <v>513</v>
      </c>
      <c r="C86" s="41">
        <v>4017</v>
      </c>
      <c r="D86" s="13">
        <v>3238520.88</v>
      </c>
      <c r="E86" s="13">
        <v>0</v>
      </c>
      <c r="F86" s="13">
        <v>0</v>
      </c>
      <c r="G86" s="13">
        <v>30916</v>
      </c>
      <c r="H86" s="13">
        <v>0</v>
      </c>
      <c r="I86" s="13">
        <v>0</v>
      </c>
      <c r="J86" s="13">
        <v>252468</v>
      </c>
      <c r="K86" s="13">
        <v>332295</v>
      </c>
      <c r="L86" s="13">
        <v>24180</v>
      </c>
      <c r="M86" s="13">
        <v>3129</v>
      </c>
      <c r="N86" s="13">
        <f t="shared" si="4"/>
        <v>3881508.88</v>
      </c>
      <c r="O86" s="13">
        <v>1239</v>
      </c>
      <c r="P86" s="13">
        <f t="shared" si="5"/>
        <v>3132.7755286521387</v>
      </c>
      <c r="Q86" s="12" t="s">
        <v>415</v>
      </c>
      <c r="R86" s="12">
        <v>152009</v>
      </c>
      <c r="S86" s="12">
        <v>249430</v>
      </c>
      <c r="T86" s="12">
        <v>200</v>
      </c>
      <c r="U86" s="12">
        <v>2120</v>
      </c>
      <c r="V86" s="12">
        <v>0</v>
      </c>
      <c r="W86" s="12">
        <v>0</v>
      </c>
      <c r="X86" s="12">
        <v>0</v>
      </c>
      <c r="Y86" s="12">
        <v>132477</v>
      </c>
      <c r="Z86" s="13">
        <v>0</v>
      </c>
      <c r="AA86" s="98"/>
      <c r="AB86" s="99"/>
    </row>
    <row r="87" spans="1:28" ht="12">
      <c r="A87" s="41">
        <v>4</v>
      </c>
      <c r="B87" s="97" t="s">
        <v>514</v>
      </c>
      <c r="C87" s="41">
        <v>4030</v>
      </c>
      <c r="D87" s="13">
        <v>2739237.73</v>
      </c>
      <c r="E87" s="13">
        <v>0</v>
      </c>
      <c r="F87" s="13">
        <v>965174</v>
      </c>
      <c r="G87" s="13">
        <v>79037</v>
      </c>
      <c r="H87" s="13">
        <v>0</v>
      </c>
      <c r="I87" s="13">
        <v>0</v>
      </c>
      <c r="J87" s="13">
        <v>269540</v>
      </c>
      <c r="K87" s="13">
        <v>359057</v>
      </c>
      <c r="L87" s="13">
        <v>-83318</v>
      </c>
      <c r="M87" s="13">
        <v>0</v>
      </c>
      <c r="N87" s="13">
        <f t="shared" si="4"/>
        <v>4328727.73</v>
      </c>
      <c r="O87" s="13">
        <v>1272</v>
      </c>
      <c r="P87" s="13">
        <f t="shared" si="5"/>
        <v>3403.087838050315</v>
      </c>
      <c r="Q87" s="12" t="s">
        <v>415</v>
      </c>
      <c r="R87" s="12">
        <v>160478</v>
      </c>
      <c r="S87" s="12">
        <v>222124</v>
      </c>
      <c r="T87" s="12">
        <v>1808</v>
      </c>
      <c r="U87" s="12">
        <v>2136</v>
      </c>
      <c r="V87" s="12">
        <v>0</v>
      </c>
      <c r="W87" s="12">
        <v>0</v>
      </c>
      <c r="X87" s="12">
        <v>0</v>
      </c>
      <c r="Y87" s="12">
        <v>150914</v>
      </c>
      <c r="Z87" s="13">
        <v>223</v>
      </c>
      <c r="AA87" s="98"/>
      <c r="AB87" s="99"/>
    </row>
    <row r="88" spans="1:28" ht="12">
      <c r="A88" s="41">
        <v>5</v>
      </c>
      <c r="B88" s="97" t="s">
        <v>515</v>
      </c>
      <c r="C88" s="41">
        <v>4012</v>
      </c>
      <c r="D88" s="13">
        <v>2400803.72</v>
      </c>
      <c r="E88" s="13">
        <v>0</v>
      </c>
      <c r="F88" s="13">
        <v>0</v>
      </c>
      <c r="G88" s="13">
        <v>651625</v>
      </c>
      <c r="H88" s="13">
        <v>0</v>
      </c>
      <c r="I88" s="13">
        <v>0</v>
      </c>
      <c r="J88" s="13">
        <v>240760</v>
      </c>
      <c r="K88" s="13">
        <v>287599</v>
      </c>
      <c r="L88" s="13">
        <v>8793</v>
      </c>
      <c r="M88" s="13">
        <v>808</v>
      </c>
      <c r="N88" s="13">
        <f t="shared" si="4"/>
        <v>3590388.72</v>
      </c>
      <c r="O88" s="13">
        <v>963</v>
      </c>
      <c r="P88" s="13">
        <f t="shared" si="5"/>
        <v>3728.3371962616825</v>
      </c>
      <c r="Q88" s="12" t="s">
        <v>415</v>
      </c>
      <c r="R88" s="12">
        <v>139653</v>
      </c>
      <c r="S88" s="12">
        <v>204680</v>
      </c>
      <c r="T88" s="12">
        <v>3000</v>
      </c>
      <c r="U88" s="12">
        <v>1982</v>
      </c>
      <c r="V88" s="12">
        <v>0</v>
      </c>
      <c r="W88" s="12">
        <v>0</v>
      </c>
      <c r="X88" s="12">
        <v>0</v>
      </c>
      <c r="Y88" s="12">
        <v>696148</v>
      </c>
      <c r="Z88" s="13">
        <v>0</v>
      </c>
      <c r="AA88" s="98"/>
      <c r="AB88" s="99"/>
    </row>
    <row r="89" spans="1:28" ht="12">
      <c r="A89" s="41">
        <v>6</v>
      </c>
      <c r="B89" s="97" t="s">
        <v>516</v>
      </c>
      <c r="C89" s="41">
        <v>4018</v>
      </c>
      <c r="D89" s="13">
        <v>3238924.8</v>
      </c>
      <c r="E89" s="13">
        <v>0</v>
      </c>
      <c r="F89" s="13">
        <v>0</v>
      </c>
      <c r="G89" s="13">
        <v>146751</v>
      </c>
      <c r="H89" s="13">
        <v>0</v>
      </c>
      <c r="I89" s="13">
        <v>0</v>
      </c>
      <c r="J89" s="13">
        <v>259205</v>
      </c>
      <c r="K89" s="13">
        <v>293042</v>
      </c>
      <c r="L89" s="13">
        <v>0</v>
      </c>
      <c r="M89" s="13">
        <v>0</v>
      </c>
      <c r="N89" s="13">
        <f t="shared" si="4"/>
        <v>3937922.8</v>
      </c>
      <c r="O89" s="13">
        <v>1239</v>
      </c>
      <c r="P89" s="13">
        <f t="shared" si="5"/>
        <v>3178.307344632768</v>
      </c>
      <c r="Q89" s="12" t="s">
        <v>415</v>
      </c>
      <c r="R89" s="12">
        <v>167500</v>
      </c>
      <c r="S89" s="12">
        <v>210313</v>
      </c>
      <c r="T89" s="12">
        <v>1400</v>
      </c>
      <c r="U89" s="12">
        <v>2120</v>
      </c>
      <c r="V89" s="12">
        <v>0</v>
      </c>
      <c r="W89" s="12">
        <v>0</v>
      </c>
      <c r="X89" s="12">
        <v>0</v>
      </c>
      <c r="Y89" s="12">
        <v>198317</v>
      </c>
      <c r="Z89" s="13">
        <v>0</v>
      </c>
      <c r="AA89" s="98"/>
      <c r="AB89" s="99"/>
    </row>
    <row r="90" spans="1:28" ht="22.5">
      <c r="A90" s="41">
        <v>7</v>
      </c>
      <c r="B90" s="97" t="s">
        <v>517</v>
      </c>
      <c r="C90" s="41">
        <v>4019</v>
      </c>
      <c r="D90" s="13">
        <v>2603657.55</v>
      </c>
      <c r="E90" s="13">
        <v>0</v>
      </c>
      <c r="F90" s="13">
        <v>0</v>
      </c>
      <c r="G90" s="13">
        <v>126523</v>
      </c>
      <c r="H90" s="13">
        <v>0</v>
      </c>
      <c r="I90" s="13">
        <v>0</v>
      </c>
      <c r="J90" s="13">
        <v>210188</v>
      </c>
      <c r="K90" s="13">
        <v>313339</v>
      </c>
      <c r="L90" s="13">
        <v>20260</v>
      </c>
      <c r="M90" s="13">
        <v>0</v>
      </c>
      <c r="N90" s="13">
        <f t="shared" si="4"/>
        <v>3273967.55</v>
      </c>
      <c r="O90" s="13">
        <v>999</v>
      </c>
      <c r="P90" s="13">
        <f t="shared" si="5"/>
        <v>3277.2447947947944</v>
      </c>
      <c r="Q90" s="12" t="s">
        <v>415</v>
      </c>
      <c r="R90" s="12">
        <v>145958</v>
      </c>
      <c r="S90" s="12">
        <v>193740</v>
      </c>
      <c r="T90" s="12">
        <v>900</v>
      </c>
      <c r="U90" s="12">
        <v>2000</v>
      </c>
      <c r="V90" s="12">
        <v>0</v>
      </c>
      <c r="W90" s="12">
        <v>0</v>
      </c>
      <c r="X90" s="12">
        <v>0</v>
      </c>
      <c r="Y90" s="12">
        <v>189429</v>
      </c>
      <c r="Z90" s="13">
        <v>0</v>
      </c>
      <c r="AA90" s="98"/>
      <c r="AB90" s="99"/>
    </row>
    <row r="91" spans="1:28" ht="12">
      <c r="A91" s="41">
        <v>8</v>
      </c>
      <c r="B91" s="97" t="s">
        <v>518</v>
      </c>
      <c r="C91" s="41">
        <v>4020</v>
      </c>
      <c r="D91" s="13">
        <v>3257517.06</v>
      </c>
      <c r="E91" s="13">
        <v>0</v>
      </c>
      <c r="F91" s="13">
        <v>0</v>
      </c>
      <c r="G91" s="13">
        <v>253616</v>
      </c>
      <c r="H91" s="13">
        <v>0</v>
      </c>
      <c r="I91" s="13">
        <v>0</v>
      </c>
      <c r="J91" s="13">
        <v>293630</v>
      </c>
      <c r="K91" s="13">
        <v>299625</v>
      </c>
      <c r="L91" s="13">
        <v>652</v>
      </c>
      <c r="M91" s="13">
        <v>0</v>
      </c>
      <c r="N91" s="13">
        <f t="shared" si="4"/>
        <v>4105040.06</v>
      </c>
      <c r="O91" s="13">
        <v>1259</v>
      </c>
      <c r="P91" s="13">
        <f t="shared" si="5"/>
        <v>3260.5560444797457</v>
      </c>
      <c r="Q91" s="12" t="s">
        <v>415</v>
      </c>
      <c r="R91" s="12">
        <v>189328</v>
      </c>
      <c r="S91" s="12">
        <v>101093</v>
      </c>
      <c r="T91" s="12">
        <v>8000</v>
      </c>
      <c r="U91" s="12">
        <v>2129</v>
      </c>
      <c r="V91" s="12">
        <v>0</v>
      </c>
      <c r="W91" s="12">
        <v>0</v>
      </c>
      <c r="X91" s="12">
        <v>0</v>
      </c>
      <c r="Y91" s="12">
        <v>282151</v>
      </c>
      <c r="Z91" s="13">
        <v>0</v>
      </c>
      <c r="AA91" s="98"/>
      <c r="AB91" s="99"/>
    </row>
    <row r="92" spans="1:28" ht="12">
      <c r="A92" s="41">
        <v>9</v>
      </c>
      <c r="B92" s="97" t="s">
        <v>519</v>
      </c>
      <c r="C92" s="41">
        <v>4031</v>
      </c>
      <c r="D92" s="13">
        <v>3408462.98</v>
      </c>
      <c r="E92" s="13">
        <v>0</v>
      </c>
      <c r="F92" s="13">
        <v>538488</v>
      </c>
      <c r="G92" s="13">
        <v>294037</v>
      </c>
      <c r="H92" s="13">
        <v>0</v>
      </c>
      <c r="I92" s="13">
        <v>0</v>
      </c>
      <c r="J92" s="13">
        <v>326065</v>
      </c>
      <c r="K92" s="13">
        <v>323912</v>
      </c>
      <c r="L92" s="13">
        <v>-48338</v>
      </c>
      <c r="M92" s="13">
        <v>0</v>
      </c>
      <c r="N92" s="13">
        <f t="shared" si="4"/>
        <v>4842626.98</v>
      </c>
      <c r="O92" s="13">
        <v>1424</v>
      </c>
      <c r="P92" s="13">
        <f t="shared" si="5"/>
        <v>3400.721193820225</v>
      </c>
      <c r="Q92" s="12" t="s">
        <v>415</v>
      </c>
      <c r="R92" s="12">
        <v>231333</v>
      </c>
      <c r="S92" s="12">
        <v>362100</v>
      </c>
      <c r="T92" s="12">
        <v>30000</v>
      </c>
      <c r="U92" s="12">
        <v>2212</v>
      </c>
      <c r="V92" s="12">
        <v>0</v>
      </c>
      <c r="W92" s="12">
        <v>0</v>
      </c>
      <c r="X92" s="12">
        <v>0</v>
      </c>
      <c r="Y92" s="12">
        <v>298521</v>
      </c>
      <c r="Z92" s="13">
        <v>121</v>
      </c>
      <c r="AA92" s="98"/>
      <c r="AB92" s="99"/>
    </row>
    <row r="93" spans="1:28" ht="12">
      <c r="A93" s="41">
        <v>10</v>
      </c>
      <c r="B93" s="97" t="s">
        <v>520</v>
      </c>
      <c r="C93" s="41">
        <v>4034</v>
      </c>
      <c r="D93" s="13">
        <v>2841605.96</v>
      </c>
      <c r="E93" s="13">
        <v>0</v>
      </c>
      <c r="F93" s="13">
        <v>0</v>
      </c>
      <c r="G93" s="13">
        <v>451060</v>
      </c>
      <c r="H93" s="13">
        <v>0</v>
      </c>
      <c r="I93" s="13">
        <v>0</v>
      </c>
      <c r="J93" s="13">
        <v>246508</v>
      </c>
      <c r="K93" s="13">
        <v>318248</v>
      </c>
      <c r="L93" s="13">
        <v>0</v>
      </c>
      <c r="M93" s="13">
        <v>0</v>
      </c>
      <c r="N93" s="13">
        <f t="shared" si="4"/>
        <v>3857421.96</v>
      </c>
      <c r="O93" s="13">
        <v>1087</v>
      </c>
      <c r="P93" s="13">
        <f t="shared" si="5"/>
        <v>3548.6862557497698</v>
      </c>
      <c r="Q93" s="12" t="s">
        <v>415</v>
      </c>
      <c r="R93" s="12">
        <v>209167</v>
      </c>
      <c r="S93" s="12">
        <v>652485</v>
      </c>
      <c r="T93" s="12">
        <v>21000</v>
      </c>
      <c r="U93" s="12">
        <v>2044</v>
      </c>
      <c r="V93" s="12">
        <v>0</v>
      </c>
      <c r="W93" s="12">
        <v>0</v>
      </c>
      <c r="X93" s="12">
        <v>0</v>
      </c>
      <c r="Y93" s="12">
        <v>387008</v>
      </c>
      <c r="Z93" s="13">
        <v>0</v>
      </c>
      <c r="AA93" s="98"/>
      <c r="AB93" s="99"/>
    </row>
    <row r="94" spans="1:28" ht="22.5">
      <c r="A94" s="41">
        <v>11</v>
      </c>
      <c r="B94" s="97" t="s">
        <v>521</v>
      </c>
      <c r="C94" s="41">
        <v>4650</v>
      </c>
      <c r="D94" s="13">
        <v>2608961.23</v>
      </c>
      <c r="E94" s="13">
        <v>0</v>
      </c>
      <c r="F94" s="13">
        <v>1047287</v>
      </c>
      <c r="G94" s="13">
        <v>61683</v>
      </c>
      <c r="H94" s="13">
        <v>0</v>
      </c>
      <c r="I94" s="13">
        <v>0</v>
      </c>
      <c r="J94" s="13">
        <v>179557</v>
      </c>
      <c r="K94" s="13">
        <v>303635</v>
      </c>
      <c r="L94" s="13">
        <v>-83049</v>
      </c>
      <c r="M94" s="13">
        <v>0</v>
      </c>
      <c r="N94" s="13">
        <f t="shared" si="4"/>
        <v>4118074.2300000004</v>
      </c>
      <c r="O94" s="13">
        <v>1246</v>
      </c>
      <c r="P94" s="13">
        <f t="shared" si="5"/>
        <v>3305.0354975922955</v>
      </c>
      <c r="Q94" s="12" t="s">
        <v>415</v>
      </c>
      <c r="R94" s="12">
        <v>152197</v>
      </c>
      <c r="S94" s="12">
        <v>197259</v>
      </c>
      <c r="T94" s="12">
        <v>3242</v>
      </c>
      <c r="U94" s="12">
        <v>2123</v>
      </c>
      <c r="V94" s="12">
        <v>0</v>
      </c>
      <c r="W94" s="12">
        <v>0</v>
      </c>
      <c r="X94" s="12">
        <v>0</v>
      </c>
      <c r="Y94" s="12">
        <v>121741</v>
      </c>
      <c r="Z94" s="13">
        <v>245</v>
      </c>
      <c r="AA94" s="98"/>
      <c r="AB94" s="99"/>
    </row>
    <row r="95" spans="1:28" ht="12">
      <c r="A95" s="41">
        <v>12</v>
      </c>
      <c r="B95" s="97" t="s">
        <v>522</v>
      </c>
      <c r="C95" s="41">
        <v>4014</v>
      </c>
      <c r="D95" s="13">
        <v>3329194.43</v>
      </c>
      <c r="E95" s="13">
        <v>0</v>
      </c>
      <c r="F95" s="13">
        <v>0</v>
      </c>
      <c r="G95" s="13">
        <v>46609</v>
      </c>
      <c r="H95" s="13">
        <v>0</v>
      </c>
      <c r="I95" s="13">
        <v>0</v>
      </c>
      <c r="J95" s="13">
        <v>268704</v>
      </c>
      <c r="K95" s="13">
        <v>269539</v>
      </c>
      <c r="L95" s="13">
        <v>0</v>
      </c>
      <c r="M95" s="13">
        <v>0</v>
      </c>
      <c r="N95" s="13">
        <f t="shared" si="4"/>
        <v>3914046.43</v>
      </c>
      <c r="O95" s="13">
        <v>1276</v>
      </c>
      <c r="P95" s="13">
        <f t="shared" si="5"/>
        <v>3067.4345062695925</v>
      </c>
      <c r="Q95" s="12" t="s">
        <v>415</v>
      </c>
      <c r="R95" s="12">
        <v>162370</v>
      </c>
      <c r="S95" s="12">
        <v>346179</v>
      </c>
      <c r="T95" s="12">
        <v>200</v>
      </c>
      <c r="U95" s="12">
        <v>2138</v>
      </c>
      <c r="V95" s="12">
        <v>0</v>
      </c>
      <c r="W95" s="12">
        <v>0</v>
      </c>
      <c r="X95" s="12">
        <v>0</v>
      </c>
      <c r="Y95" s="12">
        <v>122428</v>
      </c>
      <c r="Z95" s="13">
        <v>0</v>
      </c>
      <c r="AA95" s="98"/>
      <c r="AB95" s="99"/>
    </row>
    <row r="96" spans="1:28" ht="12">
      <c r="A96" s="41">
        <v>13</v>
      </c>
      <c r="B96" s="97" t="s">
        <v>523</v>
      </c>
      <c r="C96" s="41">
        <v>4032</v>
      </c>
      <c r="D96" s="13">
        <v>1202582.6541666666</v>
      </c>
      <c r="E96" s="13">
        <v>0</v>
      </c>
      <c r="F96" s="13">
        <v>0</v>
      </c>
      <c r="G96" s="13">
        <v>154417.9166666667</v>
      </c>
      <c r="H96" s="13">
        <v>0</v>
      </c>
      <c r="I96" s="13">
        <v>0</v>
      </c>
      <c r="J96" s="13">
        <v>111452.5</v>
      </c>
      <c r="K96" s="13">
        <v>129996.25</v>
      </c>
      <c r="L96" s="13">
        <v>1883.75</v>
      </c>
      <c r="M96" s="13">
        <v>9.583333333333334</v>
      </c>
      <c r="N96" s="13">
        <f t="shared" si="4"/>
        <v>1600342.6541666666</v>
      </c>
      <c r="O96" s="13">
        <v>459.58333333333337</v>
      </c>
      <c r="P96" s="13">
        <f t="shared" si="5"/>
        <v>3482.159900271985</v>
      </c>
      <c r="Q96" s="12" t="s">
        <v>415</v>
      </c>
      <c r="R96" s="12">
        <v>59708</v>
      </c>
      <c r="S96" s="12">
        <v>224214</v>
      </c>
      <c r="T96" s="12">
        <v>21000</v>
      </c>
      <c r="U96" s="12">
        <v>0</v>
      </c>
      <c r="V96" s="12">
        <v>0</v>
      </c>
      <c r="W96" s="12">
        <v>0</v>
      </c>
      <c r="X96" s="12">
        <v>0</v>
      </c>
      <c r="Y96" s="12">
        <v>141985</v>
      </c>
      <c r="Z96" s="13">
        <v>0</v>
      </c>
      <c r="AA96" s="98" t="s">
        <v>277</v>
      </c>
      <c r="AB96" s="99">
        <v>38960</v>
      </c>
    </row>
    <row r="97" spans="2:28" ht="12.75" thickBot="1">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row>
    <row r="98" spans="2:28" ht="13.5" thickBot="1" thickTop="1">
      <c r="B98" s="611" t="s">
        <v>418</v>
      </c>
      <c r="C98" s="611"/>
      <c r="D98" s="32">
        <f aca="true" t="shared" si="6" ref="D98:M98">SUM(D84:D97)</f>
        <v>36776050.68416667</v>
      </c>
      <c r="E98" s="32">
        <f t="shared" si="6"/>
        <v>0</v>
      </c>
      <c r="F98" s="32">
        <f t="shared" si="6"/>
        <v>3074404</v>
      </c>
      <c r="G98" s="32">
        <f t="shared" si="6"/>
        <v>3044496.9166666665</v>
      </c>
      <c r="H98" s="32">
        <f t="shared" si="6"/>
        <v>0</v>
      </c>
      <c r="I98" s="32">
        <f t="shared" si="6"/>
        <v>0</v>
      </c>
      <c r="J98" s="32">
        <f t="shared" si="6"/>
        <v>3125324.5</v>
      </c>
      <c r="K98" s="32">
        <f t="shared" si="6"/>
        <v>3842317.25</v>
      </c>
      <c r="L98" s="32">
        <f t="shared" si="6"/>
        <v>-189665.25</v>
      </c>
      <c r="M98" s="32">
        <f t="shared" si="6"/>
        <v>3946.5833333333335</v>
      </c>
      <c r="N98" s="32">
        <f>SUM(D98:M98)</f>
        <v>49676874.68416667</v>
      </c>
      <c r="O98" s="32">
        <f>SUM(O84:O97)</f>
        <v>14915.583333333334</v>
      </c>
      <c r="P98" s="32">
        <f>IF(O98=0,0,IF(ISERROR(N98/O98),0,N98/O98))</f>
        <v>3330.535157357797</v>
      </c>
      <c r="Q98" s="101"/>
      <c r="R98" s="32">
        <f aca="true" t="shared" si="7" ref="R98:Z98">SUM(R84:R97)</f>
        <v>2148014</v>
      </c>
      <c r="S98" s="32">
        <f t="shared" si="7"/>
        <v>3799296</v>
      </c>
      <c r="T98" s="32">
        <f t="shared" si="7"/>
        <v>122450</v>
      </c>
      <c r="U98" s="32">
        <f t="shared" si="7"/>
        <v>25228</v>
      </c>
      <c r="V98" s="32">
        <f t="shared" si="7"/>
        <v>0</v>
      </c>
      <c r="W98" s="32">
        <f t="shared" si="7"/>
        <v>0</v>
      </c>
      <c r="X98" s="32">
        <f t="shared" si="7"/>
        <v>0</v>
      </c>
      <c r="Y98" s="32">
        <f t="shared" si="7"/>
        <v>3533084</v>
      </c>
      <c r="Z98" s="32">
        <f t="shared" si="7"/>
        <v>735</v>
      </c>
      <c r="AA98" s="102"/>
      <c r="AB98" s="102"/>
    </row>
    <row r="99" ht="12.75" thickTop="1"/>
    <row r="100" spans="2:28" ht="12.75" customHeight="1">
      <c r="B100" s="651" t="s">
        <v>419</v>
      </c>
      <c r="C100" s="652"/>
      <c r="D100" s="657" t="s">
        <v>420</v>
      </c>
      <c r="E100" s="659" t="s">
        <v>421</v>
      </c>
      <c r="F100" s="661"/>
      <c r="G100" s="621"/>
      <c r="H100" s="622" t="s">
        <v>384</v>
      </c>
      <c r="I100" s="624"/>
      <c r="J100" s="625" t="s">
        <v>386</v>
      </c>
      <c r="K100" s="630" t="s">
        <v>387</v>
      </c>
      <c r="L100" s="632" t="s">
        <v>388</v>
      </c>
      <c r="M100" s="634" t="s">
        <v>389</v>
      </c>
      <c r="N100" s="636" t="s">
        <v>390</v>
      </c>
      <c r="O100" s="637"/>
      <c r="P100" s="638"/>
      <c r="Q100" s="96"/>
      <c r="R100" s="627" t="s">
        <v>392</v>
      </c>
      <c r="S100" s="628"/>
      <c r="T100" s="628"/>
      <c r="U100" s="628"/>
      <c r="V100" s="628"/>
      <c r="W100" s="628"/>
      <c r="X100" s="628"/>
      <c r="Y100" s="628"/>
      <c r="Z100" s="628"/>
      <c r="AA100" s="628"/>
      <c r="AB100" s="629"/>
    </row>
    <row r="101" spans="2:28" ht="12">
      <c r="B101" s="653"/>
      <c r="C101" s="654"/>
      <c r="D101" s="658"/>
      <c r="E101" s="660"/>
      <c r="F101" s="661"/>
      <c r="G101" s="621"/>
      <c r="H101" s="623"/>
      <c r="I101" s="624"/>
      <c r="J101" s="626"/>
      <c r="K101" s="631"/>
      <c r="L101" s="633"/>
      <c r="M101" s="635"/>
      <c r="N101" s="639"/>
      <c r="O101" s="640"/>
      <c r="P101" s="641"/>
      <c r="Q101" s="96"/>
      <c r="R101" s="627" t="s">
        <v>393</v>
      </c>
      <c r="S101" s="628"/>
      <c r="T101" s="628"/>
      <c r="U101" s="628"/>
      <c r="V101" s="628"/>
      <c r="W101" s="629"/>
      <c r="X101" s="627" t="s">
        <v>394</v>
      </c>
      <c r="Y101" s="628"/>
      <c r="Z101" s="628"/>
      <c r="AA101" s="628"/>
      <c r="AB101" s="629"/>
    </row>
    <row r="102" spans="2:28" ht="12.75" customHeight="1">
      <c r="B102" s="653"/>
      <c r="C102" s="654"/>
      <c r="D102" s="658"/>
      <c r="E102" s="660"/>
      <c r="F102" s="661"/>
      <c r="G102" s="621"/>
      <c r="H102" s="623"/>
      <c r="I102" s="624"/>
      <c r="J102" s="626"/>
      <c r="K102" s="631"/>
      <c r="L102" s="633"/>
      <c r="M102" s="635"/>
      <c r="N102" s="639"/>
      <c r="O102" s="640"/>
      <c r="P102" s="641"/>
      <c r="Q102" s="105"/>
      <c r="R102" s="642" t="s">
        <v>395</v>
      </c>
      <c r="S102" s="642" t="s">
        <v>396</v>
      </c>
      <c r="T102" s="642" t="s">
        <v>397</v>
      </c>
      <c r="U102" s="642" t="s">
        <v>398</v>
      </c>
      <c r="V102" s="642" t="s">
        <v>399</v>
      </c>
      <c r="W102" s="642" t="s">
        <v>400</v>
      </c>
      <c r="X102" s="642" t="s">
        <v>401</v>
      </c>
      <c r="Y102" s="106"/>
      <c r="Z102" s="107"/>
      <c r="AA102" s="642" t="s">
        <v>404</v>
      </c>
      <c r="AB102" s="642" t="s">
        <v>405</v>
      </c>
    </row>
    <row r="103" spans="2:28" ht="12">
      <c r="B103" s="653"/>
      <c r="C103" s="654"/>
      <c r="D103" s="658"/>
      <c r="E103" s="660"/>
      <c r="F103" s="661"/>
      <c r="G103" s="621"/>
      <c r="H103" s="623"/>
      <c r="I103" s="624"/>
      <c r="J103" s="626"/>
      <c r="K103" s="631"/>
      <c r="L103" s="633"/>
      <c r="M103" s="635"/>
      <c r="N103" s="639"/>
      <c r="O103" s="640"/>
      <c r="P103" s="641"/>
      <c r="Q103" s="105"/>
      <c r="R103" s="643"/>
      <c r="S103" s="643"/>
      <c r="T103" s="643"/>
      <c r="U103" s="643"/>
      <c r="V103" s="643"/>
      <c r="W103" s="643"/>
      <c r="X103" s="643"/>
      <c r="Y103" s="104"/>
      <c r="Z103" s="103"/>
      <c r="AA103" s="643"/>
      <c r="AB103" s="643"/>
    </row>
    <row r="104" spans="2:28" ht="12">
      <c r="B104" s="653"/>
      <c r="C104" s="654"/>
      <c r="D104" s="658"/>
      <c r="E104" s="660"/>
      <c r="F104" s="661"/>
      <c r="G104" s="621"/>
      <c r="H104" s="623"/>
      <c r="I104" s="624"/>
      <c r="J104" s="626"/>
      <c r="K104" s="631"/>
      <c r="L104" s="633"/>
      <c r="M104" s="635"/>
      <c r="N104" s="639"/>
      <c r="O104" s="640"/>
      <c r="P104" s="641"/>
      <c r="Q104" s="105"/>
      <c r="R104" s="643"/>
      <c r="S104" s="643"/>
      <c r="T104" s="643"/>
      <c r="U104" s="643"/>
      <c r="V104" s="643"/>
      <c r="W104" s="643"/>
      <c r="X104" s="643"/>
      <c r="Y104" s="104"/>
      <c r="Z104" s="103"/>
      <c r="AA104" s="643"/>
      <c r="AB104" s="643"/>
    </row>
    <row r="105" spans="2:28" ht="12">
      <c r="B105" s="653"/>
      <c r="C105" s="654"/>
      <c r="D105" s="658"/>
      <c r="E105" s="660"/>
      <c r="F105" s="661"/>
      <c r="G105" s="621"/>
      <c r="H105" s="623"/>
      <c r="I105" s="624"/>
      <c r="J105" s="626"/>
      <c r="K105" s="631"/>
      <c r="L105" s="633"/>
      <c r="M105" s="635"/>
      <c r="N105" s="639"/>
      <c r="O105" s="640"/>
      <c r="P105" s="641"/>
      <c r="Q105" s="105"/>
      <c r="R105" s="643"/>
      <c r="S105" s="643"/>
      <c r="T105" s="643"/>
      <c r="U105" s="643"/>
      <c r="V105" s="643"/>
      <c r="W105" s="643"/>
      <c r="X105" s="643"/>
      <c r="Y105" s="104"/>
      <c r="Z105" s="103"/>
      <c r="AA105" s="643"/>
      <c r="AB105" s="643"/>
    </row>
    <row r="106" spans="2:28" ht="12">
      <c r="B106" s="655"/>
      <c r="C106" s="656"/>
      <c r="D106" s="658"/>
      <c r="E106" s="660"/>
      <c r="F106" s="661"/>
      <c r="G106" s="621"/>
      <c r="H106" s="623"/>
      <c r="I106" s="624"/>
      <c r="J106" s="626"/>
      <c r="K106" s="631"/>
      <c r="L106" s="633"/>
      <c r="M106" s="635"/>
      <c r="N106" s="639"/>
      <c r="O106" s="640"/>
      <c r="P106" s="641"/>
      <c r="Q106" s="105"/>
      <c r="R106" s="644"/>
      <c r="S106" s="644"/>
      <c r="T106" s="644"/>
      <c r="U106" s="644"/>
      <c r="V106" s="644"/>
      <c r="W106" s="644"/>
      <c r="X106" s="644"/>
      <c r="Y106" s="104"/>
      <c r="Z106" s="103"/>
      <c r="AA106" s="644"/>
      <c r="AB106" s="644"/>
    </row>
    <row r="107" spans="2:28" ht="12">
      <c r="B107" s="615" t="s">
        <v>406</v>
      </c>
      <c r="C107" s="615" t="s">
        <v>407</v>
      </c>
      <c r="D107" s="662" t="s">
        <v>408</v>
      </c>
      <c r="E107" s="664" t="s">
        <v>408</v>
      </c>
      <c r="F107" s="661"/>
      <c r="G107" s="621"/>
      <c r="H107" s="617" t="s">
        <v>408</v>
      </c>
      <c r="I107" s="624"/>
      <c r="J107" s="619" t="s">
        <v>408</v>
      </c>
      <c r="K107" s="645" t="s">
        <v>408</v>
      </c>
      <c r="L107" s="647" t="s">
        <v>408</v>
      </c>
      <c r="M107" s="649" t="s">
        <v>408</v>
      </c>
      <c r="N107" s="614" t="s">
        <v>408</v>
      </c>
      <c r="O107" s="615" t="s">
        <v>409</v>
      </c>
      <c r="P107" s="615" t="s">
        <v>410</v>
      </c>
      <c r="Q107" s="6"/>
      <c r="R107" s="612" t="s">
        <v>408</v>
      </c>
      <c r="S107" s="612" t="s">
        <v>408</v>
      </c>
      <c r="T107" s="612" t="s">
        <v>408</v>
      </c>
      <c r="U107" s="612" t="s">
        <v>408</v>
      </c>
      <c r="V107" s="612" t="s">
        <v>408</v>
      </c>
      <c r="W107" s="612" t="s">
        <v>408</v>
      </c>
      <c r="X107" s="612" t="s">
        <v>408</v>
      </c>
      <c r="Y107" s="108"/>
      <c r="Z107" s="105"/>
      <c r="AA107" s="612" t="s">
        <v>411</v>
      </c>
      <c r="AB107" s="612" t="s">
        <v>422</v>
      </c>
    </row>
    <row r="108" spans="2:28" ht="35.25" customHeight="1">
      <c r="B108" s="616"/>
      <c r="C108" s="616"/>
      <c r="D108" s="663"/>
      <c r="E108" s="665"/>
      <c r="F108" s="661"/>
      <c r="G108" s="621"/>
      <c r="H108" s="618"/>
      <c r="I108" s="624"/>
      <c r="J108" s="620"/>
      <c r="K108" s="646"/>
      <c r="L108" s="648"/>
      <c r="M108" s="650"/>
      <c r="N108" s="613"/>
      <c r="O108" s="616"/>
      <c r="P108" s="616"/>
      <c r="Q108" s="6"/>
      <c r="R108" s="613"/>
      <c r="S108" s="613"/>
      <c r="T108" s="613"/>
      <c r="U108" s="613"/>
      <c r="V108" s="613"/>
      <c r="W108" s="613"/>
      <c r="X108" s="613"/>
      <c r="Y108" s="108"/>
      <c r="Z108" s="105"/>
      <c r="AA108" s="613"/>
      <c r="AB108" s="613"/>
    </row>
    <row r="109" ht="12.75" customHeight="1">
      <c r="Q109" s="80"/>
    </row>
    <row r="110" spans="1:28" ht="12">
      <c r="A110" s="41">
        <v>1</v>
      </c>
      <c r="B110" s="97" t="s">
        <v>524</v>
      </c>
      <c r="C110" s="41">
        <v>7005</v>
      </c>
      <c r="D110" s="13">
        <v>758678.9742109859</v>
      </c>
      <c r="E110" s="13">
        <v>1011</v>
      </c>
      <c r="H110" s="13">
        <v>0</v>
      </c>
      <c r="J110" s="13">
        <v>37256</v>
      </c>
      <c r="K110" s="13">
        <v>132262</v>
      </c>
      <c r="L110" s="13">
        <v>0</v>
      </c>
      <c r="M110" s="13">
        <v>0</v>
      </c>
      <c r="N110" s="13">
        <f>SUM(D110:M110)</f>
        <v>929207.9742109859</v>
      </c>
      <c r="O110" s="13">
        <v>94</v>
      </c>
      <c r="P110" s="13">
        <f>IF(O110=0,0,IF(ISERROR(N110/O110),0,N110/O110))</f>
        <v>9885.191215010489</v>
      </c>
      <c r="Q110" s="109"/>
      <c r="R110" s="12">
        <v>42000</v>
      </c>
      <c r="S110" s="12">
        <v>39199</v>
      </c>
      <c r="T110" s="12">
        <v>0</v>
      </c>
      <c r="U110" s="12">
        <v>1117</v>
      </c>
      <c r="V110" s="12">
        <v>0</v>
      </c>
      <c r="W110" s="12">
        <v>0</v>
      </c>
      <c r="X110" s="12">
        <v>0</v>
      </c>
      <c r="AA110" s="98"/>
      <c r="AB110" s="99"/>
    </row>
    <row r="111" spans="1:28" ht="12">
      <c r="A111" s="41">
        <v>2</v>
      </c>
      <c r="B111" s="97" t="s">
        <v>525</v>
      </c>
      <c r="C111" s="41">
        <v>7001</v>
      </c>
      <c r="D111" s="13">
        <v>834608.7217436795</v>
      </c>
      <c r="E111" s="13">
        <v>232</v>
      </c>
      <c r="H111" s="13">
        <v>0</v>
      </c>
      <c r="J111" s="13">
        <v>38527</v>
      </c>
      <c r="K111" s="13">
        <v>132966</v>
      </c>
      <c r="L111" s="13">
        <v>0</v>
      </c>
      <c r="M111" s="13">
        <v>20317</v>
      </c>
      <c r="N111" s="13">
        <f>SUM(D111:M111)</f>
        <v>1026650.7217436795</v>
      </c>
      <c r="O111" s="13">
        <v>100</v>
      </c>
      <c r="P111" s="13">
        <f>IF(O111=0,0,IF(ISERROR(N111/O111),0,N111/O111))</f>
        <v>10266.507217436794</v>
      </c>
      <c r="Q111" s="109"/>
      <c r="R111" s="12">
        <v>42204</v>
      </c>
      <c r="S111" s="12">
        <v>32922</v>
      </c>
      <c r="T111" s="12">
        <v>0</v>
      </c>
      <c r="U111" s="12">
        <v>1121</v>
      </c>
      <c r="V111" s="12">
        <v>0</v>
      </c>
      <c r="W111" s="12">
        <v>0</v>
      </c>
      <c r="X111" s="12">
        <v>0</v>
      </c>
      <c r="AA111" s="98"/>
      <c r="AB111" s="99"/>
    </row>
    <row r="112" spans="1:28" ht="12">
      <c r="A112" s="41">
        <v>3</v>
      </c>
      <c r="B112" s="97" t="s">
        <v>526</v>
      </c>
      <c r="C112" s="41">
        <v>7009</v>
      </c>
      <c r="D112" s="13">
        <v>545254.7914559845</v>
      </c>
      <c r="E112" s="13">
        <v>337</v>
      </c>
      <c r="H112" s="13">
        <v>0</v>
      </c>
      <c r="J112" s="13">
        <v>27291</v>
      </c>
      <c r="K112" s="13">
        <v>123963</v>
      </c>
      <c r="L112" s="13">
        <v>0</v>
      </c>
      <c r="M112" s="13">
        <v>0</v>
      </c>
      <c r="N112" s="13">
        <f>SUM(D112:M112)</f>
        <v>696845.7914559845</v>
      </c>
      <c r="O112" s="13">
        <v>40</v>
      </c>
      <c r="P112" s="13">
        <f>IF(O112=0,0,IF(ISERROR(N112/O112),0,N112/O112))</f>
        <v>17421.14478639961</v>
      </c>
      <c r="Q112" s="109"/>
      <c r="R112" s="12">
        <v>44117</v>
      </c>
      <c r="S112" s="12">
        <v>19840</v>
      </c>
      <c r="T112" s="12">
        <v>0</v>
      </c>
      <c r="U112" s="12">
        <v>1086</v>
      </c>
      <c r="V112" s="12">
        <v>0</v>
      </c>
      <c r="W112" s="12">
        <v>0</v>
      </c>
      <c r="X112" s="12">
        <v>0</v>
      </c>
      <c r="AA112" s="98"/>
      <c r="AB112" s="99"/>
    </row>
    <row r="113" spans="1:28" ht="12">
      <c r="A113" s="41">
        <v>4</v>
      </c>
      <c r="B113" s="97" t="s">
        <v>527</v>
      </c>
      <c r="C113" s="41">
        <v>7007</v>
      </c>
      <c r="D113" s="13">
        <v>863180.7929468451</v>
      </c>
      <c r="E113" s="13">
        <v>442</v>
      </c>
      <c r="H113" s="13">
        <v>0</v>
      </c>
      <c r="J113" s="13">
        <v>30233</v>
      </c>
      <c r="K113" s="13">
        <v>128591</v>
      </c>
      <c r="L113" s="13">
        <v>0</v>
      </c>
      <c r="M113" s="13">
        <v>0</v>
      </c>
      <c r="N113" s="13">
        <f>SUM(D113:M113)</f>
        <v>1022446.7929468451</v>
      </c>
      <c r="O113" s="13">
        <v>70</v>
      </c>
      <c r="P113" s="13">
        <f>IF(O113=0,0,IF(ISERROR(N113/O113),0,N113/O113))</f>
        <v>14606.3827563835</v>
      </c>
      <c r="Q113" s="109"/>
      <c r="R113" s="12">
        <v>42000</v>
      </c>
      <c r="S113" s="12">
        <v>30205</v>
      </c>
      <c r="T113" s="12">
        <v>0</v>
      </c>
      <c r="U113" s="12">
        <v>1101</v>
      </c>
      <c r="V113" s="12">
        <v>0</v>
      </c>
      <c r="W113" s="12">
        <v>0</v>
      </c>
      <c r="X113" s="12">
        <v>0</v>
      </c>
      <c r="AA113" s="98"/>
      <c r="AB113" s="99"/>
    </row>
    <row r="114" spans="1:28" ht="12">
      <c r="A114" s="41">
        <v>5</v>
      </c>
      <c r="B114" s="97" t="s">
        <v>528</v>
      </c>
      <c r="C114" s="41">
        <v>7002</v>
      </c>
      <c r="D114" s="13">
        <v>1106284.9168962813</v>
      </c>
      <c r="E114" s="13">
        <v>126</v>
      </c>
      <c r="H114" s="13">
        <v>0</v>
      </c>
      <c r="J114" s="13">
        <v>56514</v>
      </c>
      <c r="K114" s="13">
        <v>129391</v>
      </c>
      <c r="L114" s="13">
        <v>0</v>
      </c>
      <c r="M114" s="13">
        <v>0</v>
      </c>
      <c r="N114" s="13">
        <f>SUM(D114:M114)</f>
        <v>1292315.9168962813</v>
      </c>
      <c r="O114" s="13">
        <v>96</v>
      </c>
      <c r="P114" s="13">
        <f>IF(O114=0,0,IF(ISERROR(N114/O114),0,N114/O114))</f>
        <v>13461.624134336264</v>
      </c>
      <c r="Q114" s="109"/>
      <c r="R114" s="12">
        <v>42000</v>
      </c>
      <c r="S114" s="12">
        <v>30950</v>
      </c>
      <c r="T114" s="12">
        <v>0</v>
      </c>
      <c r="U114" s="12">
        <v>1118</v>
      </c>
      <c r="V114" s="12">
        <v>0</v>
      </c>
      <c r="W114" s="12">
        <v>0</v>
      </c>
      <c r="X114" s="12">
        <v>0</v>
      </c>
      <c r="AA114" s="98"/>
      <c r="AB114" s="99"/>
    </row>
    <row r="115" ht="12.75" customHeight="1" thickBot="1">
      <c r="Q115" s="80"/>
    </row>
    <row r="116" spans="2:28" ht="12.75" customHeight="1" thickBot="1" thickTop="1">
      <c r="B116" s="611" t="s">
        <v>423</v>
      </c>
      <c r="C116" s="611"/>
      <c r="D116" s="32">
        <f>SUM(D110:D115)</f>
        <v>4108008.1972537762</v>
      </c>
      <c r="E116" s="32">
        <f>SUM(E110:E115)</f>
        <v>2148</v>
      </c>
      <c r="H116" s="32">
        <f>SUM(H110:H115)</f>
        <v>0</v>
      </c>
      <c r="J116" s="32">
        <f>SUM(J110:J115)</f>
        <v>189821</v>
      </c>
      <c r="K116" s="32">
        <f>SUM(K110:K115)</f>
        <v>647173</v>
      </c>
      <c r="L116" s="32">
        <f>SUM(L110:L115)</f>
        <v>0</v>
      </c>
      <c r="M116" s="32">
        <f>SUM(M110:M115)</f>
        <v>20317</v>
      </c>
      <c r="N116" s="32">
        <f>SUM(D116:M116)</f>
        <v>4967467.197253777</v>
      </c>
      <c r="O116" s="32">
        <f>SUM(O110:O115)</f>
        <v>400</v>
      </c>
      <c r="P116" s="32">
        <f>IF(O116=0,0,IF(ISERROR(N116/O116),0,N116/O116))</f>
        <v>12418.667993134442</v>
      </c>
      <c r="Q116" s="101"/>
      <c r="R116" s="32">
        <f aca="true" t="shared" si="8" ref="R116:X116">SUM(R110:R115)</f>
        <v>212321</v>
      </c>
      <c r="S116" s="32">
        <f t="shared" si="8"/>
        <v>153116</v>
      </c>
      <c r="T116" s="32">
        <f t="shared" si="8"/>
        <v>0</v>
      </c>
      <c r="U116" s="32">
        <f t="shared" si="8"/>
        <v>5543</v>
      </c>
      <c r="V116" s="32">
        <f t="shared" si="8"/>
        <v>0</v>
      </c>
      <c r="W116" s="32">
        <f t="shared" si="8"/>
        <v>0</v>
      </c>
      <c r="X116" s="32">
        <f t="shared" si="8"/>
        <v>0</v>
      </c>
      <c r="AA116" s="102"/>
      <c r="AB116" s="102"/>
    </row>
    <row r="117" ht="12.75" customHeight="1" thickBot="1" thickTop="1">
      <c r="Q117" s="80"/>
    </row>
    <row r="118" spans="2:28" ht="13.5" thickBot="1" thickTop="1">
      <c r="B118" s="610" t="s">
        <v>424</v>
      </c>
      <c r="C118" s="610"/>
      <c r="D118" s="32">
        <f>SUM(D81,D98,D116)</f>
        <v>76148247.74142045</v>
      </c>
      <c r="E118" s="32">
        <f aca="true" t="shared" si="9" ref="E118:O118">SUM(E81,E98,E116)</f>
        <v>3058992</v>
      </c>
      <c r="F118" s="32">
        <f t="shared" si="9"/>
        <v>3074404</v>
      </c>
      <c r="G118" s="32">
        <f t="shared" si="9"/>
        <v>6009764.916666666</v>
      </c>
      <c r="H118" s="32">
        <f t="shared" si="9"/>
        <v>0</v>
      </c>
      <c r="I118" s="32">
        <f t="shared" si="9"/>
        <v>0</v>
      </c>
      <c r="J118" s="32">
        <f t="shared" si="9"/>
        <v>6401596.5</v>
      </c>
      <c r="K118" s="32">
        <f t="shared" si="9"/>
        <v>10665818.25</v>
      </c>
      <c r="L118" s="32">
        <f t="shared" si="9"/>
        <v>-189665.25</v>
      </c>
      <c r="M118" s="32">
        <f t="shared" si="9"/>
        <v>43193.58333333333</v>
      </c>
      <c r="N118" s="32">
        <f t="shared" si="9"/>
        <v>105212351.74142045</v>
      </c>
      <c r="O118" s="32">
        <f t="shared" si="9"/>
        <v>34320.25</v>
      </c>
      <c r="P118" s="32">
        <f>IF(O118=0,0,IF(ISERROR(N118/O118),0,N118/O118))</f>
        <v>3065.6056334502355</v>
      </c>
      <c r="Q118" s="101"/>
      <c r="R118" s="32">
        <f aca="true" t="shared" si="10" ref="R118:Z118">SUM(R81,R98,R116)</f>
        <v>5160655</v>
      </c>
      <c r="S118" s="32">
        <f t="shared" si="10"/>
        <v>6745655</v>
      </c>
      <c r="T118" s="32">
        <f t="shared" si="10"/>
        <v>122450</v>
      </c>
      <c r="U118" s="32">
        <f t="shared" si="10"/>
        <v>111923</v>
      </c>
      <c r="V118" s="32">
        <f t="shared" si="10"/>
        <v>0</v>
      </c>
      <c r="W118" s="32">
        <f t="shared" si="10"/>
        <v>0</v>
      </c>
      <c r="X118" s="32">
        <f t="shared" si="10"/>
        <v>0</v>
      </c>
      <c r="Y118" s="32">
        <f t="shared" si="10"/>
        <v>7342213</v>
      </c>
      <c r="Z118" s="32">
        <f t="shared" si="10"/>
        <v>735</v>
      </c>
      <c r="AA118" s="102"/>
      <c r="AB118" s="102"/>
    </row>
    <row r="119" ht="12.75" thickTop="1"/>
    <row r="120" ht="12">
      <c r="B120" s="56" t="s">
        <v>425</v>
      </c>
    </row>
    <row r="121" ht="12.75" thickBot="1"/>
    <row r="122" spans="2:7" ht="25.5" customHeight="1" thickBot="1">
      <c r="B122" s="609" t="s">
        <v>426</v>
      </c>
      <c r="C122" s="609"/>
      <c r="G122" s="110">
        <v>22299.666666666668</v>
      </c>
    </row>
    <row r="123" ht="12.75" customHeight="1" thickBot="1"/>
    <row r="124" spans="2:20" ht="12.75" customHeight="1" thickBot="1">
      <c r="B124" s="609" t="s">
        <v>427</v>
      </c>
      <c r="C124" s="609"/>
      <c r="S124" s="111"/>
      <c r="T124" s="112">
        <v>0</v>
      </c>
    </row>
    <row r="125" ht="12.75" customHeight="1" thickBot="1"/>
    <row r="126" spans="2:20" ht="25.5" customHeight="1" thickBot="1">
      <c r="B126" s="609" t="s">
        <v>428</v>
      </c>
      <c r="C126" s="609"/>
      <c r="S126" s="113">
        <v>313900</v>
      </c>
      <c r="T126" s="114"/>
    </row>
    <row r="127" ht="12.75" customHeight="1" thickBot="1"/>
    <row r="128" spans="2:20" ht="25.5" customHeight="1" thickBot="1">
      <c r="B128" s="609" t="s">
        <v>429</v>
      </c>
      <c r="C128" s="609"/>
      <c r="S128" s="111"/>
      <c r="T128" s="113">
        <v>1256204</v>
      </c>
    </row>
    <row r="129" ht="12.75" customHeight="1" thickBot="1"/>
    <row r="130" spans="2:20" ht="25.5" customHeight="1" thickBot="1">
      <c r="B130" s="609" t="s">
        <v>430</v>
      </c>
      <c r="C130" s="609"/>
      <c r="S130" s="113">
        <v>84568</v>
      </c>
      <c r="T130" s="114"/>
    </row>
    <row r="131" spans="2:20" ht="12.75" customHeight="1" thickBot="1">
      <c r="B131" s="115"/>
      <c r="C131" s="116"/>
      <c r="T131" s="117"/>
    </row>
    <row r="132" spans="2:22" ht="25.5" customHeight="1" thickBot="1">
      <c r="B132" s="609" t="s">
        <v>431</v>
      </c>
      <c r="C132" s="609"/>
      <c r="T132" s="117"/>
      <c r="V132" s="113">
        <v>0</v>
      </c>
    </row>
    <row r="133" spans="2:20" ht="12.75" customHeight="1" thickBot="1">
      <c r="B133" s="115"/>
      <c r="C133" s="116"/>
      <c r="T133" s="117"/>
    </row>
    <row r="134" spans="2:22" ht="25.5" customHeight="1" thickBot="1">
      <c r="B134" s="609" t="s">
        <v>432</v>
      </c>
      <c r="C134" s="609"/>
      <c r="T134" s="117"/>
      <c r="V134" s="110">
        <f>SUM(V118,V132)</f>
        <v>0</v>
      </c>
    </row>
    <row r="135" ht="12.75" customHeight="1" thickBot="1"/>
    <row r="136" spans="2:14" ht="12.75" customHeight="1" thickBot="1">
      <c r="B136" s="609" t="s">
        <v>433</v>
      </c>
      <c r="C136" s="609"/>
      <c r="N136" s="110">
        <f>SUM(N118,G122)</f>
        <v>105234651.40808712</v>
      </c>
    </row>
    <row r="137" ht="12.75" customHeight="1" thickBot="1"/>
    <row r="138" spans="2:20" ht="12.75" customHeight="1" thickBot="1">
      <c r="B138" s="609" t="s">
        <v>434</v>
      </c>
      <c r="C138" s="609"/>
      <c r="S138" s="118"/>
      <c r="T138" s="110">
        <f>SUM(T118,T124,T128)</f>
        <v>1378654</v>
      </c>
    </row>
    <row r="139" spans="2:19" ht="12.75" customHeight="1" thickBot="1">
      <c r="B139" s="115"/>
      <c r="C139" s="116"/>
      <c r="S139" s="117"/>
    </row>
    <row r="140" spans="2:20" ht="12.75" customHeight="1" thickBot="1">
      <c r="B140" s="609" t="s">
        <v>435</v>
      </c>
      <c r="C140" s="609"/>
      <c r="S140" s="110">
        <f>SUM(S118,S126,S130)</f>
        <v>7144123</v>
      </c>
      <c r="T140" s="119"/>
    </row>
    <row r="141" ht="12.75" customHeight="1" thickBot="1"/>
    <row r="142" spans="1:13" ht="12.75" customHeight="1">
      <c r="A142" s="120"/>
      <c r="B142" s="90" t="s">
        <v>436</v>
      </c>
      <c r="C142" s="91"/>
      <c r="D142" s="91"/>
      <c r="E142" s="91"/>
      <c r="F142" s="91"/>
      <c r="G142" s="91"/>
      <c r="H142" s="91"/>
      <c r="I142" s="91"/>
      <c r="J142" s="91"/>
      <c r="K142" s="91"/>
      <c r="L142" s="91"/>
      <c r="M142" s="92"/>
    </row>
    <row r="143" spans="1:13" ht="12.75" customHeight="1" thickBot="1">
      <c r="A143" s="120"/>
      <c r="B143" s="421" t="s">
        <v>252</v>
      </c>
      <c r="C143" s="422"/>
      <c r="D143" s="422"/>
      <c r="E143" s="422"/>
      <c r="F143" s="422"/>
      <c r="G143" s="422"/>
      <c r="H143" s="422"/>
      <c r="I143" s="422"/>
      <c r="J143" s="422"/>
      <c r="K143" s="422"/>
      <c r="L143" s="422"/>
      <c r="M143" s="423"/>
    </row>
    <row r="144" spans="1:13" ht="12.75" customHeight="1">
      <c r="A144" s="121"/>
      <c r="B144" s="47"/>
      <c r="C144" s="48"/>
      <c r="D144" s="48"/>
      <c r="E144" s="48"/>
      <c r="F144" s="48"/>
      <c r="G144" s="48"/>
      <c r="H144" s="48"/>
      <c r="I144" s="48"/>
      <c r="J144" s="48"/>
      <c r="K144" s="48"/>
      <c r="L144" s="48"/>
      <c r="M144" s="49"/>
    </row>
    <row r="145" spans="1:13" ht="12.75" customHeight="1">
      <c r="A145" s="121"/>
      <c r="B145" s="50" t="s">
        <v>437</v>
      </c>
      <c r="C145" s="51"/>
      <c r="D145" s="51"/>
      <c r="E145" s="51"/>
      <c r="F145" s="51"/>
      <c r="G145" s="51"/>
      <c r="H145" s="51"/>
      <c r="I145" s="51"/>
      <c r="J145" s="51"/>
      <c r="K145" s="51"/>
      <c r="L145" s="51"/>
      <c r="M145" s="52"/>
    </row>
    <row r="146" spans="1:13" ht="12.75" customHeight="1">
      <c r="A146" s="121"/>
      <c r="B146" s="50" t="s">
        <v>438</v>
      </c>
      <c r="C146" s="51"/>
      <c r="D146" s="51"/>
      <c r="E146" s="51"/>
      <c r="F146" s="51"/>
      <c r="G146" s="51"/>
      <c r="H146" s="51"/>
      <c r="I146" s="51"/>
      <c r="J146" s="51"/>
      <c r="K146" s="51"/>
      <c r="L146" s="51"/>
      <c r="M146" s="52"/>
    </row>
    <row r="147" spans="1:13" ht="12">
      <c r="A147" s="121"/>
      <c r="B147" s="50" t="s">
        <v>439</v>
      </c>
      <c r="C147" s="51"/>
      <c r="D147" s="51"/>
      <c r="E147" s="51"/>
      <c r="F147" s="51"/>
      <c r="G147" s="51"/>
      <c r="H147" s="51"/>
      <c r="I147" s="51"/>
      <c r="J147" s="51"/>
      <c r="K147" s="51"/>
      <c r="L147" s="51"/>
      <c r="M147" s="52"/>
    </row>
    <row r="148" spans="1:13" ht="12">
      <c r="A148" s="121"/>
      <c r="B148" s="50" t="s">
        <v>440</v>
      </c>
      <c r="C148" s="51"/>
      <c r="D148" s="51"/>
      <c r="E148" s="51"/>
      <c r="F148" s="51"/>
      <c r="G148" s="51"/>
      <c r="H148" s="51"/>
      <c r="I148" s="51"/>
      <c r="J148" s="51"/>
      <c r="K148" s="51"/>
      <c r="L148" s="51"/>
      <c r="M148" s="52"/>
    </row>
    <row r="149" spans="1:13" ht="12">
      <c r="A149" s="121"/>
      <c r="B149" s="50" t="s">
        <v>441</v>
      </c>
      <c r="C149" s="51"/>
      <c r="D149" s="51"/>
      <c r="E149" s="51"/>
      <c r="F149" s="51"/>
      <c r="G149" s="51"/>
      <c r="H149" s="51"/>
      <c r="I149" s="51"/>
      <c r="J149" s="51"/>
      <c r="K149" s="51"/>
      <c r="L149" s="51"/>
      <c r="M149" s="52"/>
    </row>
    <row r="150" spans="1:13" ht="12">
      <c r="A150" s="121"/>
      <c r="B150" s="50" t="s">
        <v>442</v>
      </c>
      <c r="C150" s="51"/>
      <c r="D150" s="51"/>
      <c r="E150" s="51"/>
      <c r="F150" s="51"/>
      <c r="G150" s="51"/>
      <c r="H150" s="51"/>
      <c r="I150" s="51"/>
      <c r="J150" s="51"/>
      <c r="K150" s="51"/>
      <c r="L150" s="51"/>
      <c r="M150" s="52"/>
    </row>
    <row r="151" spans="1:13" ht="12">
      <c r="A151" s="121"/>
      <c r="B151" s="50" t="s">
        <v>443</v>
      </c>
      <c r="C151" s="51"/>
      <c r="D151" s="51"/>
      <c r="E151" s="51"/>
      <c r="F151" s="51"/>
      <c r="G151" s="51"/>
      <c r="H151" s="51"/>
      <c r="I151" s="51"/>
      <c r="J151" s="51"/>
      <c r="K151" s="51"/>
      <c r="L151" s="51"/>
      <c r="M151" s="52"/>
    </row>
    <row r="152" spans="1:13" ht="12">
      <c r="A152" s="121"/>
      <c r="B152" s="50"/>
      <c r="C152" s="51"/>
      <c r="D152" s="51"/>
      <c r="E152" s="51"/>
      <c r="F152" s="51"/>
      <c r="G152" s="51"/>
      <c r="H152" s="51"/>
      <c r="I152" s="51"/>
      <c r="J152" s="51"/>
      <c r="K152" s="51"/>
      <c r="L152" s="51"/>
      <c r="M152" s="52"/>
    </row>
    <row r="153" spans="1:13" ht="12.75" thickBot="1">
      <c r="A153" s="121"/>
      <c r="B153" s="519"/>
      <c r="C153" s="520"/>
      <c r="D153" s="520"/>
      <c r="E153" s="520"/>
      <c r="F153" s="520"/>
      <c r="G153" s="520"/>
      <c r="H153" s="520"/>
      <c r="I153" s="520"/>
      <c r="J153" s="520"/>
      <c r="K153" s="520"/>
      <c r="L153" s="520"/>
      <c r="M153" s="521"/>
    </row>
  </sheetData>
  <mergeCells count="115">
    <mergeCell ref="G3:G9"/>
    <mergeCell ref="H3:H9"/>
    <mergeCell ref="I3:I9"/>
    <mergeCell ref="B3:C9"/>
    <mergeCell ref="D3:D9"/>
    <mergeCell ref="E3:E9"/>
    <mergeCell ref="F3:F9"/>
    <mergeCell ref="W5:W9"/>
    <mergeCell ref="J3:J9"/>
    <mergeCell ref="K3:K9"/>
    <mergeCell ref="L3:L9"/>
    <mergeCell ref="M3:M9"/>
    <mergeCell ref="R4:W4"/>
    <mergeCell ref="X4:AB4"/>
    <mergeCell ref="N3:P9"/>
    <mergeCell ref="Q3:Q11"/>
    <mergeCell ref="R3:AB3"/>
    <mergeCell ref="R5:R9"/>
    <mergeCell ref="S5:S9"/>
    <mergeCell ref="T5:T9"/>
    <mergeCell ref="U5:U9"/>
    <mergeCell ref="V5:V9"/>
    <mergeCell ref="AB5:AB9"/>
    <mergeCell ref="X5:X9"/>
    <mergeCell ref="Y5:Y9"/>
    <mergeCell ref="Z5:Z9"/>
    <mergeCell ref="AA5:AA9"/>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R10:R11"/>
    <mergeCell ref="S10:S11"/>
    <mergeCell ref="T10:T11"/>
    <mergeCell ref="U10:U11"/>
    <mergeCell ref="V10:V11"/>
    <mergeCell ref="AA10:AA11"/>
    <mergeCell ref="AB10:AB11"/>
    <mergeCell ref="W10:W11"/>
    <mergeCell ref="X10:X11"/>
    <mergeCell ref="Y10:Y11"/>
    <mergeCell ref="Z10:Z11"/>
    <mergeCell ref="B98:C98"/>
    <mergeCell ref="B81:C81"/>
    <mergeCell ref="B83:C83"/>
    <mergeCell ref="B12:C12"/>
    <mergeCell ref="X101:AB101"/>
    <mergeCell ref="R102:R106"/>
    <mergeCell ref="S102:S106"/>
    <mergeCell ref="B100:C106"/>
    <mergeCell ref="D100:D106"/>
    <mergeCell ref="E100:E106"/>
    <mergeCell ref="F100:F108"/>
    <mergeCell ref="D107:D108"/>
    <mergeCell ref="E107:E108"/>
    <mergeCell ref="K107:K108"/>
    <mergeCell ref="L107:L108"/>
    <mergeCell ref="M107:M108"/>
    <mergeCell ref="R100:AB100"/>
    <mergeCell ref="U102:U106"/>
    <mergeCell ref="V102:V106"/>
    <mergeCell ref="W102:W106"/>
    <mergeCell ref="X102:X106"/>
    <mergeCell ref="AA102:AA106"/>
    <mergeCell ref="AB102:AB106"/>
    <mergeCell ref="R101:W101"/>
    <mergeCell ref="K100:K106"/>
    <mergeCell ref="L100:L106"/>
    <mergeCell ref="M100:M106"/>
    <mergeCell ref="N100:P106"/>
    <mergeCell ref="T102:T106"/>
    <mergeCell ref="H107:H108"/>
    <mergeCell ref="J107:J108"/>
    <mergeCell ref="G100:G108"/>
    <mergeCell ref="H100:H106"/>
    <mergeCell ref="I100:I108"/>
    <mergeCell ref="J100:J106"/>
    <mergeCell ref="AB107:AB108"/>
    <mergeCell ref="S107:S108"/>
    <mergeCell ref="T107:T108"/>
    <mergeCell ref="U107:U108"/>
    <mergeCell ref="V107:V108"/>
    <mergeCell ref="B116:C116"/>
    <mergeCell ref="W107:W108"/>
    <mergeCell ref="X107:X108"/>
    <mergeCell ref="AA107:AA108"/>
    <mergeCell ref="N107:N108"/>
    <mergeCell ref="O107:O108"/>
    <mergeCell ref="P107:P108"/>
    <mergeCell ref="R107:R108"/>
    <mergeCell ref="B107:B108"/>
    <mergeCell ref="C107:C108"/>
    <mergeCell ref="B124:C124"/>
    <mergeCell ref="B126:C126"/>
    <mergeCell ref="B118:C118"/>
    <mergeCell ref="B122:C122"/>
    <mergeCell ref="B132:C132"/>
    <mergeCell ref="B134:C134"/>
    <mergeCell ref="B128:C128"/>
    <mergeCell ref="B130:C130"/>
    <mergeCell ref="B153:M153"/>
    <mergeCell ref="B140:C140"/>
    <mergeCell ref="B136:C136"/>
    <mergeCell ref="B138:C138"/>
  </mergeCells>
  <conditionalFormatting sqref="D116:E116 H116 G122 N136 H110:H114 V13:Y79 R116 R98 J116:O116 D98:O98 AA110:AB114 U98 W81:X81 U116 R81 D81:O81 U81 D13:Q79 D84:Q96 V110:X114 V84:AB96 W116:X116 AA13:AB79 W98:X98 D110:E114 J110:P114">
    <cfRule type="expression" priority="1" dxfId="0" stopIfTrue="1">
      <formula>AND(LEFT(#REF!,1)="E",D13="")</formula>
    </cfRule>
    <cfRule type="expression" priority="2" dxfId="1" stopIfTrue="1">
      <formula>LEFT(#REF!,1)="E"</formula>
    </cfRule>
    <cfRule type="expression" priority="3" dxfId="2" stopIfTrue="1">
      <formula>LEFT(#REF!,1)="W"</formula>
    </cfRule>
  </conditionalFormatting>
  <conditionalFormatting sqref="B110:C114 B84:C96 B13:C79">
    <cfRule type="expression" priority="4" dxfId="1" stopIfTrue="1">
      <formula>LEFT(#REF!,1)="E"</formula>
    </cfRule>
    <cfRule type="expression" priority="5" dxfId="2" stopIfTrue="1">
      <formula>LEFT(#REF!,1)="W"</formula>
    </cfRule>
  </conditionalFormatting>
  <conditionalFormatting sqref="Z13:Z79">
    <cfRule type="expression" priority="6" dxfId="0" stopIfTrue="1">
      <formula>AND(LEFT(#REF!,1)="E",Z13="")</formula>
    </cfRule>
    <cfRule type="expression" priority="7" dxfId="1" stopIfTrue="1">
      <formula>LEFT(#REF!,1)="E"</formula>
    </cfRule>
    <cfRule type="expression" priority="8" dxfId="2" stopIfTrue="1">
      <formula>LEFT(#REF!,1)="W"</formula>
    </cfRule>
  </conditionalFormatting>
  <conditionalFormatting sqref="R13:U79 R84:U96 R110:U114 S140 T138 T124 S126 T128 S130 V132 V134">
    <cfRule type="expression" priority="9" dxfId="0" stopIfTrue="1">
      <formula>AND(LEFT(AY13,1)="E",R13="")</formula>
    </cfRule>
    <cfRule type="expression" priority="10" dxfId="1" stopIfTrue="1">
      <formula>LEFT(AY13,1)="E"</formula>
    </cfRule>
    <cfRule type="expression" priority="11" dxfId="2" stopIfTrue="1">
      <formula>LEFT(AY13,1)="W"</formula>
    </cfRule>
  </conditionalFormatting>
  <dataValidations count="1">
    <dataValidation type="list" allowBlank="1" showInputMessage="1" showErrorMessage="1" errorTitle="S52 Budget 2006-07" error="You have made an invalid selection/entry - Please retry and correct this." sqref="Q84:Q96 Q13:Q79">
      <formula1>"No Variation Applied, School Forum, Secretary of State"</formula1>
    </dataValidation>
  </dataValidations>
  <hyperlinks>
    <hyperlink ref="B10:B11" r:id="rId1" display="(1) School name"/>
    <hyperlink ref="C10:C11" r:id="rId2" display="(2) DfES number"/>
    <hyperlink ref="B107:B108" r:id="rId3" display="(1) School name"/>
    <hyperlink ref="C107:C108" r:id="rId4" display="(2) DfES number"/>
    <hyperlink ref="N100:P106" r:id="rId5" display="(13) TOTAL BUDGET SHARE"/>
    <hyperlink ref="O107:O108" r:id="rId6" display="http://www.dfes.gov.uk/localauthorities/docs/DfES_Leagateway_document_244.doc#T2_13a"/>
    <hyperlink ref="P107:P108" r:id="rId7" display="http://www.dfes.gov.uk/localauthorities/docs/DfES_Leagateway_document_244.doc#T2_14"/>
    <hyperlink ref="R102:R106" r:id="rId8" display="http://www.dfes.gov.uk/localauthorities/docs/DfES_Leagateway_document_244.doc#T2_15"/>
    <hyperlink ref="S102:S106" r:id="rId9" display="http://www.dfes.gov.uk/localauthorities/docs/DfES_Leagateway_document_244.doc#T2_16a"/>
    <hyperlink ref="T102:T106" r:id="rId10" display="INSTRUCTIONS AND GUIDANCE FOR FINANCIAL REPORTING ON"/>
    <hyperlink ref="U102:U106" r:id="rId11" display="http://www.dfes.gov.uk/localauthorities/docs/DfES_Leagateway_document_244.doc#T2_17"/>
    <hyperlink ref="V102:V106" r:id="rId12" display="http://www.dfes.gov.uk/localauthorities/docs/DfES_Leagateway_document_244.doc#T2_18"/>
    <hyperlink ref="W102:W106" r:id="rId13" display="http://www.dfes.gov.uk/localauthorities/docs/DfES_Leagateway_document_244.doc#T2_19"/>
    <hyperlink ref="X102:X106" r:id="rId14" display="http://www.dfes.gov.uk/localauthorities/docs/DfES_Leagateway_document_244.doc#T2_20"/>
    <hyperlink ref="AA102:AA106" r:id="rId15" display="http://www.dfes.gov.uk/localauthorities/docs/DfES_Leagateway_document_244.doc#T2_23"/>
    <hyperlink ref="AB102:AB106" r:id="rId16" display="http://www.dfes.gov.uk/localauthorities/docs/DfES_Leagateway_document_244.doc#T2_24"/>
    <hyperlink ref="B81:C81" r:id="rId17" display="(26) Total/average Primary Schools"/>
    <hyperlink ref="B98:C98" r:id="rId18" display="(27) Total/average Secondary Schools"/>
    <hyperlink ref="B116:C116" r:id="rId19" display="(28) Total/average Special Schools"/>
    <hyperlink ref="B118:C118" r:id="rId20" display="(29) Total All Schools"/>
    <hyperlink ref="B122:C122" r:id="rId21" display="(30) Academy Funding for SEN pupils that would normally be delegated"/>
    <hyperlink ref="B124:C124" r:id="rId22" display="(31) Academy Other Standards Fund"/>
    <hyperlink ref="B126:C126" r:id="rId23" display="(32) Academy Schools Development Grant"/>
    <hyperlink ref="B128:C128" r:id="rId24" display="(33) Unallocated Other Standards Fund"/>
    <hyperlink ref="B130:C130" r:id="rId25" display="(34) Unallocated Schools Development Grant"/>
    <hyperlink ref="B132:C132" r:id="rId26" display="(35) Unallocated Targeted School Meals Grant"/>
    <hyperlink ref="B134:C134" r:id="rId27" display="(36) Total Targeted School Meals Grant"/>
    <hyperlink ref="B136:C136" r:id="rId28" display="(37) Total ISB"/>
    <hyperlink ref="B138:C138" r:id="rId29" display="(38) Total Devolved Standards Fund"/>
    <hyperlink ref="B140:C140" r:id="rId30" display="(39) Total Schools Development Grant"/>
    <hyperlink ref="D100:D106" r:id="rId31" display="INSTRUCTIONS AND GUIDANCE FOR FINANCIAL REPORTING ON"/>
    <hyperlink ref="E100:E106" r:id="rId32" display="INSTRUCTIONS AND GUIDANCE FOR FINANCIAL REPORTING ON"/>
    <hyperlink ref="H100:H106" r:id="rId33" display="INSTRUCTIONS AND GUIDANCE FOR FINANCIAL REPORTING ON"/>
    <hyperlink ref="J100:J106" r:id="rId34" display="INSTRUCTIONS AND GUIDANCE FOR FINANCIAL REPORTING ON"/>
    <hyperlink ref="K100:K106" r:id="rId35" display="INSTRUCTIONS AND GUIDANCE FOR FINANCIAL REPORTING ON"/>
    <hyperlink ref="L100:L106" r:id="rId36" display="INSTRUCTIONS AND GUIDANCE FOR FINANCIAL REPORTING ON"/>
    <hyperlink ref="M100:M106" r:id="rId37" display="INSTRUCTIONS AND GUIDANCE FOR FINANCIAL REPORTING ON"/>
    <hyperlink ref="Q3:Q11" r:id="rId38" display="MFG VARIATION APPLIED?"/>
    <hyperlink ref="AB5:AB9" r:id="rId39" display="http://www.dfes.gov.uk/localauthorities/docs/DfES_Leagateway_document_244.doc#T2_24"/>
    <hyperlink ref="AA5:AA9" r:id="rId40" display="http://www.dfes.gov.uk/localauthorities/docs/DfES_Leagateway_document_244.doc#T2_23"/>
    <hyperlink ref="Z5:Z9" r:id="rId41" display="http://www.dfes.gov.uk/localauthorities/docs/DfES_Leagateway_document_244.doc#T2_22"/>
    <hyperlink ref="Y5:Y9" r:id="rId42" display="INSTRUCTIONS AND GUIDANCE FOR FINANCIAL REPORTING ON"/>
    <hyperlink ref="X5:X9" r:id="rId43" display="INSTRUCTIONS AND GUIDANCE FOR FINANCIAL REPORTING ON"/>
    <hyperlink ref="W5:W9" r:id="rId44" display="INSTRUCTIONS AND GUIDANCE FOR FINANCIAL REPORTING ON"/>
    <hyperlink ref="V5:V9" r:id="rId45" display="INSTRUCTIONS AND GUIDANCE FOR FINANCIAL REPORTING ON"/>
    <hyperlink ref="U5:U9" r:id="rId46" display="http://www.dfes.gov.uk/localauthorities/docs/DfES_Leagateway_document_244.doc#T2_17"/>
    <hyperlink ref="T5:T9" r:id="rId47" display="INSTRUCTIONS AND GUIDANCE FOR FINANCIAL REPORTING ON"/>
    <hyperlink ref="S5:S9" r:id="rId48" display="http://www.dfes.gov.uk/localauthorities/docs/DfES_Leagateway_document_244.doc#T2_16a"/>
    <hyperlink ref="R5:R9" r:id="rId49" display="http://www.dfes.gov.uk/localauthorities/docs/DfES_Leagateway_document_244.doc#T2_15"/>
    <hyperlink ref="P10:P11" r:id="rId50" display="http://www.dfes.gov.uk/localauthorities/docs/DfES_Leagateway_document_244.doc#T2_14"/>
    <hyperlink ref="O10:O11" r:id="rId51" display="INSTRUCTIONS AND GUIDANCE FOR FINANCIAL REPORTING ON"/>
    <hyperlink ref="N3:P9" r:id="rId52" display="(13) TOTAL BUDGET SHARE"/>
    <hyperlink ref="M3:M9" r:id="rId53" display="http://www.dfes.gov.uk/localauthorities/docs/DfES_Leagateway_document_244.doc#T2_12"/>
    <hyperlink ref="L3:L9" r:id="rId54" display="http://www.dfes.gov.uk/localauthorities/docs/DfES_Leagateway_document_244.doc#T2_11"/>
    <hyperlink ref="K3:K9" r:id="rId55" display="http://www.dfes.gov.uk/localauthorities/docs/DfES_Leagateway_document_244.doc#T2_10"/>
    <hyperlink ref="J3:J9" r:id="rId56" display="INSTRUCTIONS AND GUIDANCE FOR FINANCIAL REPORTING ON"/>
    <hyperlink ref="I3:I9" r:id="rId57" display="INSTRUCTIONS AND GUIDANCE FOR FINANCIAL REPORTING ON"/>
    <hyperlink ref="H3:H9" r:id="rId58" display="INSTRUCTIONS AND GUIDANCE FOR FINANCIAL REPORTING ON"/>
    <hyperlink ref="G3:G9" r:id="rId59" display="http://www.dfes.gov.uk/localauthorities/docs/DfES_Leagateway_document_244.doc#T2_6"/>
    <hyperlink ref="F3:F9" r:id="rId60" display="http://www.dfes.gov.uk/localauthorities/docs/DfES_Leagateway_document_244.doc#T2_5"/>
    <hyperlink ref="E3:E9" r:id="rId61" display="http://www.dfes.gov.uk/localauthorities/docs/DfES_Leagateway_document_244.doc#T2_4"/>
    <hyperlink ref="D3:D9" r:id="rId62" display="http://www.dfes.gov.uk/localauthorities/docs/DfES_Leagateway_document_244.doc#T2_3"/>
  </hyperlinks>
  <printOptions/>
  <pageMargins left="0.24" right="0.21" top="0.43" bottom="0.39" header="0.25" footer="0.17"/>
  <pageSetup horizontalDpi="600" verticalDpi="600" orientation="landscape" paperSize="9" scale="95" r:id="rId63"/>
  <rowBreaks count="3" manualBreakCount="3">
    <brk id="67" max="27" man="1"/>
    <brk id="99" max="255" man="1"/>
    <brk id="119" max="27" man="1"/>
  </rowBreaks>
  <colBreaks count="1" manualBreakCount="1">
    <brk id="13" max="65535" man="1"/>
  </colBreaks>
</worksheet>
</file>

<file path=xl/worksheets/sheet6.xml><?xml version="1.0" encoding="utf-8"?>
<worksheet xmlns="http://schemas.openxmlformats.org/spreadsheetml/2006/main" xmlns:r="http://schemas.openxmlformats.org/officeDocument/2006/relationships">
  <dimension ref="A1:ED109"/>
  <sheetViews>
    <sheetView workbookViewId="0" topLeftCell="A1">
      <pane xSplit="2" ySplit="13" topLeftCell="AW14" activePane="bottomRight" state="frozen"/>
      <selection pane="topLeft" activeCell="A1" sqref="A1"/>
      <selection pane="topRight" activeCell="E1" sqref="E1"/>
      <selection pane="bottomLeft" activeCell="A15" sqref="A15"/>
      <selection pane="bottomRight" activeCell="C14" sqref="C14"/>
    </sheetView>
  </sheetViews>
  <sheetFormatPr defaultColWidth="9.140625" defaultRowHeight="12"/>
  <cols>
    <col min="1" max="1" width="29.7109375" style="0" customWidth="1"/>
    <col min="2" max="2" width="9.8515625" style="0" customWidth="1"/>
    <col min="3" max="3" width="6.8515625" style="0" customWidth="1"/>
    <col min="4" max="4" width="6.28125" style="0" customWidth="1"/>
    <col min="5" max="5" width="7.8515625" style="0" bestFit="1" customWidth="1"/>
    <col min="6" max="16" width="7.00390625" style="0" bestFit="1" customWidth="1"/>
    <col min="17" max="17" width="8.8515625" style="0" customWidth="1"/>
    <col min="18" max="18" width="8.57421875" style="0" bestFit="1" customWidth="1"/>
    <col min="19" max="19" width="8.421875" style="0" bestFit="1" customWidth="1"/>
    <col min="20" max="20" width="10.140625" style="0" customWidth="1"/>
    <col min="21" max="21" width="8.8515625" style="0" bestFit="1" customWidth="1"/>
    <col min="22" max="22" width="9.8515625" style="0" customWidth="1"/>
    <col min="23" max="23" width="10.28125" style="0" bestFit="1" customWidth="1"/>
    <col min="24" max="24" width="11.140625" style="0" bestFit="1" customWidth="1"/>
    <col min="26" max="26" width="7.421875" style="0" customWidth="1"/>
    <col min="27" max="27" width="8.7109375" style="0" bestFit="1" customWidth="1"/>
    <col min="28" max="28" width="8.28125" style="0" customWidth="1"/>
    <col min="29" max="29" width="8.7109375" style="0" bestFit="1" customWidth="1"/>
    <col min="30" max="32" width="11.421875" style="0" customWidth="1"/>
    <col min="33" max="34" width="10.00390625" style="0" customWidth="1"/>
    <col min="35" max="35" width="10.7109375" style="0" customWidth="1"/>
    <col min="36" max="36" width="7.7109375" style="0" bestFit="1" customWidth="1"/>
    <col min="37" max="37" width="10.7109375" style="0" customWidth="1"/>
    <col min="38" max="38" width="9.8515625" style="0" bestFit="1" customWidth="1"/>
    <col min="39" max="39" width="12.421875" style="0" customWidth="1"/>
    <col min="40" max="40" width="8.421875" style="0" customWidth="1"/>
    <col min="41" max="41" width="6.7109375" style="0" customWidth="1"/>
    <col min="42" max="42" width="7.28125" style="0" customWidth="1"/>
    <col min="43" max="43" width="6.8515625" style="0" customWidth="1"/>
    <col min="44" max="44" width="7.7109375" style="0" customWidth="1"/>
    <col min="45" max="45" width="8.421875" style="0" customWidth="1"/>
    <col min="46" max="46" width="8.8515625" style="0" customWidth="1"/>
    <col min="47" max="47" width="8.421875" style="0" customWidth="1"/>
    <col min="48" max="48" width="10.28125" style="0" customWidth="1"/>
    <col min="49" max="49" width="10.7109375" style="0" customWidth="1"/>
    <col min="50" max="50" width="8.57421875" style="0" customWidth="1"/>
    <col min="51" max="51" width="14.00390625" style="0" customWidth="1"/>
    <col min="52" max="52" width="7.8515625" style="0" customWidth="1"/>
    <col min="53" max="53" width="7.8515625" style="0" bestFit="1" customWidth="1"/>
    <col min="54" max="56" width="10.140625" style="0" customWidth="1"/>
    <col min="57" max="57" width="10.8515625" style="0" bestFit="1" customWidth="1"/>
    <col min="58" max="58" width="8.28125" style="0" bestFit="1" customWidth="1"/>
    <col min="59" max="59" width="8.7109375" style="0" bestFit="1" customWidth="1"/>
    <col min="108" max="124" width="5.28125" style="0" hidden="1" customWidth="1"/>
    <col min="125" max="133" width="3.7109375" style="0" hidden="1" customWidth="1"/>
    <col min="134" max="134" width="10.57421875" style="0" hidden="1" customWidth="1"/>
  </cols>
  <sheetData>
    <row r="1" spans="1:134" ht="13.5" customHeight="1" thickBot="1">
      <c r="A1" s="426" t="str">
        <f>+SBST!A1</f>
        <v>SOLIHULL SECTION 52 EDUCATION BUDGET STATEMENT 2006-07 Version 3 Published 3 August 2006</v>
      </c>
      <c r="B1" s="427"/>
      <c r="C1" s="427"/>
      <c r="D1" s="430"/>
      <c r="E1" s="427"/>
      <c r="F1" s="427"/>
      <c r="G1" s="427"/>
      <c r="H1" s="427"/>
      <c r="I1" s="427"/>
      <c r="J1" s="428"/>
      <c r="K1" s="429"/>
      <c r="L1" s="429"/>
      <c r="M1" s="177"/>
      <c r="N1" s="177"/>
      <c r="T1" s="773"/>
      <c r="U1" s="773"/>
      <c r="AA1" s="773"/>
      <c r="AC1" s="773"/>
      <c r="AK1" s="773"/>
      <c r="AL1" s="773"/>
      <c r="AM1" s="773"/>
      <c r="AR1" s="773"/>
      <c r="BA1" s="773"/>
      <c r="BE1" s="773"/>
      <c r="BF1" s="773"/>
      <c r="BG1" s="773"/>
      <c r="BH1" s="773"/>
      <c r="DD1" s="123"/>
      <c r="DE1" s="123"/>
      <c r="DF1" s="123"/>
      <c r="DG1" s="123"/>
      <c r="DH1" s="123"/>
      <c r="DI1" s="123"/>
      <c r="DJ1" s="123"/>
      <c r="DK1" s="123"/>
      <c r="DL1" s="123"/>
      <c r="DM1" s="123"/>
      <c r="DN1" s="123"/>
      <c r="DO1" s="123"/>
      <c r="DP1" s="123"/>
      <c r="DQ1" s="123"/>
      <c r="DR1" s="123"/>
      <c r="DS1" s="123"/>
      <c r="DT1" s="123"/>
      <c r="DU1" s="123"/>
      <c r="DV1" s="123"/>
      <c r="DW1" s="123"/>
      <c r="DX1" s="123"/>
      <c r="DY1" s="123"/>
      <c r="DZ1" s="123"/>
      <c r="EA1" s="123"/>
      <c r="EB1" s="123"/>
      <c r="EC1" s="123"/>
      <c r="ED1" s="123"/>
    </row>
    <row r="2" spans="1:134" ht="13.5" thickBot="1">
      <c r="A2" s="426" t="s">
        <v>529</v>
      </c>
      <c r="B2" s="431"/>
      <c r="E2" s="177"/>
      <c r="F2" s="177"/>
      <c r="G2" s="177"/>
      <c r="H2" s="177"/>
      <c r="I2" s="177"/>
      <c r="J2" s="177"/>
      <c r="K2" s="177"/>
      <c r="L2" s="177"/>
      <c r="M2" s="177"/>
      <c r="N2" s="177"/>
      <c r="T2" s="773"/>
      <c r="U2" s="773"/>
      <c r="AA2" s="773"/>
      <c r="AC2" s="773"/>
      <c r="AK2" s="773"/>
      <c r="AL2" s="773"/>
      <c r="AM2" s="773"/>
      <c r="AR2" s="773"/>
      <c r="BA2" s="773"/>
      <c r="BE2" s="773"/>
      <c r="BF2" s="773"/>
      <c r="BG2" s="773"/>
      <c r="BH2" s="773"/>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row>
    <row r="3" spans="1:60" ht="14.25" customHeight="1">
      <c r="A3" s="763" t="s">
        <v>530</v>
      </c>
      <c r="B3" s="764"/>
      <c r="C3" s="765" t="s">
        <v>531</v>
      </c>
      <c r="D3" s="766"/>
      <c r="E3" s="766"/>
      <c r="F3" s="766"/>
      <c r="G3" s="766"/>
      <c r="H3" s="766"/>
      <c r="I3" s="766"/>
      <c r="J3" s="766"/>
      <c r="K3" s="766"/>
      <c r="L3" s="766"/>
      <c r="M3" s="766"/>
      <c r="N3" s="766"/>
      <c r="O3" s="766"/>
      <c r="P3" s="766"/>
      <c r="Q3" s="766"/>
      <c r="R3" s="766"/>
      <c r="S3" s="766"/>
      <c r="T3" s="766"/>
      <c r="U3" s="767"/>
      <c r="V3" s="768" t="s">
        <v>532</v>
      </c>
      <c r="W3" s="769"/>
      <c r="X3" s="769"/>
      <c r="Y3" s="769"/>
      <c r="Z3" s="769"/>
      <c r="AA3" s="770"/>
      <c r="AB3" s="771" t="s">
        <v>533</v>
      </c>
      <c r="AC3" s="772"/>
      <c r="AD3" s="752" t="s">
        <v>534</v>
      </c>
      <c r="AE3" s="753"/>
      <c r="AF3" s="753"/>
      <c r="AG3" s="753"/>
      <c r="AH3" s="753"/>
      <c r="AI3" s="753"/>
      <c r="AJ3" s="753"/>
      <c r="AK3" s="754"/>
      <c r="AL3" s="755" t="s">
        <v>384</v>
      </c>
      <c r="AM3" s="757" t="s">
        <v>385</v>
      </c>
      <c r="AN3" s="759" t="s">
        <v>535</v>
      </c>
      <c r="AO3" s="760"/>
      <c r="AP3" s="760"/>
      <c r="AQ3" s="760"/>
      <c r="AR3" s="761"/>
      <c r="AS3" s="774" t="s">
        <v>536</v>
      </c>
      <c r="AT3" s="775"/>
      <c r="AU3" s="775"/>
      <c r="AV3" s="775"/>
      <c r="AW3" s="775"/>
      <c r="AX3" s="775"/>
      <c r="AY3" s="775"/>
      <c r="AZ3" s="775"/>
      <c r="BA3" s="776"/>
      <c r="BB3" s="777" t="s">
        <v>537</v>
      </c>
      <c r="BC3" s="778"/>
      <c r="BD3" s="778"/>
      <c r="BE3" s="779"/>
      <c r="BF3" s="780" t="s">
        <v>538</v>
      </c>
      <c r="BG3" s="782" t="s">
        <v>539</v>
      </c>
      <c r="BH3" s="773"/>
    </row>
    <row r="4" spans="1:60" ht="16.5" customHeight="1">
      <c r="A4" s="750" t="s">
        <v>379</v>
      </c>
      <c r="B4" s="751"/>
      <c r="C4" s="746" t="s">
        <v>540</v>
      </c>
      <c r="D4" s="746" t="s">
        <v>541</v>
      </c>
      <c r="E4" s="746" t="s">
        <v>542</v>
      </c>
      <c r="F4" s="746" t="s">
        <v>543</v>
      </c>
      <c r="G4" s="746" t="s">
        <v>544</v>
      </c>
      <c r="H4" s="746" t="s">
        <v>545</v>
      </c>
      <c r="I4" s="746" t="s">
        <v>546</v>
      </c>
      <c r="J4" s="746" t="s">
        <v>547</v>
      </c>
      <c r="K4" s="746" t="s">
        <v>548</v>
      </c>
      <c r="L4" s="746" t="s">
        <v>549</v>
      </c>
      <c r="M4" s="746" t="s">
        <v>550</v>
      </c>
      <c r="N4" s="746" t="s">
        <v>551</v>
      </c>
      <c r="O4" s="746" t="s">
        <v>552</v>
      </c>
      <c r="P4" s="746" t="s">
        <v>553</v>
      </c>
      <c r="Q4" s="746" t="s">
        <v>554</v>
      </c>
      <c r="R4" s="746" t="s">
        <v>555</v>
      </c>
      <c r="S4" s="746" t="s">
        <v>556</v>
      </c>
      <c r="T4" s="747" t="s">
        <v>557</v>
      </c>
      <c r="U4" s="749" t="s">
        <v>558</v>
      </c>
      <c r="V4" s="724" t="s">
        <v>559</v>
      </c>
      <c r="W4" s="725" t="s">
        <v>560</v>
      </c>
      <c r="X4" s="725"/>
      <c r="Y4" s="724" t="s">
        <v>561</v>
      </c>
      <c r="Z4" s="724" t="s">
        <v>562</v>
      </c>
      <c r="AA4" s="731" t="s">
        <v>381</v>
      </c>
      <c r="AB4" s="724" t="s">
        <v>563</v>
      </c>
      <c r="AC4" s="732" t="s">
        <v>382</v>
      </c>
      <c r="AD4" s="726" t="s">
        <v>564</v>
      </c>
      <c r="AE4" s="726"/>
      <c r="AF4" s="726"/>
      <c r="AG4" s="724" t="s">
        <v>565</v>
      </c>
      <c r="AH4" s="724" t="s">
        <v>566</v>
      </c>
      <c r="AI4" s="726" t="s">
        <v>567</v>
      </c>
      <c r="AJ4" s="726"/>
      <c r="AK4" s="762" t="s">
        <v>383</v>
      </c>
      <c r="AL4" s="756"/>
      <c r="AM4" s="758"/>
      <c r="AN4" s="724" t="s">
        <v>568</v>
      </c>
      <c r="AO4" s="724" t="s">
        <v>569</v>
      </c>
      <c r="AP4" s="724" t="s">
        <v>570</v>
      </c>
      <c r="AQ4" s="724" t="s">
        <v>571</v>
      </c>
      <c r="AR4" s="745" t="s">
        <v>386</v>
      </c>
      <c r="AS4" s="724" t="s">
        <v>572</v>
      </c>
      <c r="AT4" s="724" t="s">
        <v>573</v>
      </c>
      <c r="AU4" s="724" t="s">
        <v>574</v>
      </c>
      <c r="AV4" s="724" t="s">
        <v>575</v>
      </c>
      <c r="AW4" s="724" t="s">
        <v>576</v>
      </c>
      <c r="AX4" s="724" t="s">
        <v>577</v>
      </c>
      <c r="AY4" s="724" t="s">
        <v>578</v>
      </c>
      <c r="AZ4" s="724" t="s">
        <v>579</v>
      </c>
      <c r="BA4" s="744" t="s">
        <v>387</v>
      </c>
      <c r="BB4" s="724" t="s">
        <v>580</v>
      </c>
      <c r="BC4" s="724" t="s">
        <v>581</v>
      </c>
      <c r="BD4" s="724" t="s">
        <v>582</v>
      </c>
      <c r="BE4" s="737" t="s">
        <v>388</v>
      </c>
      <c r="BF4" s="781"/>
      <c r="BG4" s="783"/>
      <c r="BH4" s="773"/>
    </row>
    <row r="5" spans="1:60" ht="16.5" customHeight="1">
      <c r="A5" s="738"/>
      <c r="B5" s="739"/>
      <c r="C5" s="724"/>
      <c r="D5" s="724"/>
      <c r="E5" s="724"/>
      <c r="F5" s="725"/>
      <c r="G5" s="725"/>
      <c r="H5" s="725"/>
      <c r="I5" s="725"/>
      <c r="J5" s="725"/>
      <c r="K5" s="725"/>
      <c r="L5" s="725"/>
      <c r="M5" s="725"/>
      <c r="N5" s="725"/>
      <c r="O5" s="725"/>
      <c r="P5" s="725"/>
      <c r="Q5" s="724"/>
      <c r="R5" s="724"/>
      <c r="S5" s="724"/>
      <c r="T5" s="748"/>
      <c r="U5" s="749"/>
      <c r="V5" s="724"/>
      <c r="W5" s="726"/>
      <c r="X5" s="726"/>
      <c r="Y5" s="724"/>
      <c r="Z5" s="724"/>
      <c r="AA5" s="731"/>
      <c r="AB5" s="724"/>
      <c r="AC5" s="732"/>
      <c r="AD5" s="726"/>
      <c r="AE5" s="726"/>
      <c r="AF5" s="726"/>
      <c r="AG5" s="724"/>
      <c r="AH5" s="724"/>
      <c r="AI5" s="726"/>
      <c r="AJ5" s="726"/>
      <c r="AK5" s="762"/>
      <c r="AL5" s="756"/>
      <c r="AM5" s="758"/>
      <c r="AN5" s="724"/>
      <c r="AO5" s="724"/>
      <c r="AP5" s="724"/>
      <c r="AQ5" s="724"/>
      <c r="AR5" s="745"/>
      <c r="AS5" s="724"/>
      <c r="AT5" s="724"/>
      <c r="AU5" s="724"/>
      <c r="AV5" s="724"/>
      <c r="AW5" s="724"/>
      <c r="AX5" s="724"/>
      <c r="AY5" s="724"/>
      <c r="AZ5" s="724"/>
      <c r="BA5" s="744"/>
      <c r="BB5" s="724"/>
      <c r="BC5" s="724"/>
      <c r="BD5" s="724"/>
      <c r="BE5" s="737"/>
      <c r="BF5" s="781"/>
      <c r="BG5" s="783"/>
      <c r="BH5" s="773"/>
    </row>
    <row r="6" spans="1:60" ht="16.5" customHeight="1">
      <c r="A6" s="738"/>
      <c r="B6" s="739"/>
      <c r="C6" s="724"/>
      <c r="D6" s="724"/>
      <c r="E6" s="724"/>
      <c r="F6" s="738" t="s">
        <v>583</v>
      </c>
      <c r="G6" s="739"/>
      <c r="H6" s="738" t="s">
        <v>584</v>
      </c>
      <c r="I6" s="742"/>
      <c r="J6" s="742"/>
      <c r="K6" s="739"/>
      <c r="L6" s="738" t="s">
        <v>585</v>
      </c>
      <c r="M6" s="742"/>
      <c r="N6" s="739"/>
      <c r="O6" s="738" t="s">
        <v>586</v>
      </c>
      <c r="P6" s="739"/>
      <c r="Q6" s="724"/>
      <c r="R6" s="724"/>
      <c r="S6" s="724"/>
      <c r="T6" s="748"/>
      <c r="U6" s="749"/>
      <c r="V6" s="724"/>
      <c r="W6" s="726" t="s">
        <v>587</v>
      </c>
      <c r="X6" s="726" t="s">
        <v>588</v>
      </c>
      <c r="Y6" s="724"/>
      <c r="Z6" s="724"/>
      <c r="AA6" s="731"/>
      <c r="AB6" s="724"/>
      <c r="AC6" s="732"/>
      <c r="AD6" s="726" t="s">
        <v>589</v>
      </c>
      <c r="AE6" s="726" t="s">
        <v>590</v>
      </c>
      <c r="AF6" s="726" t="s">
        <v>591</v>
      </c>
      <c r="AG6" s="724"/>
      <c r="AH6" s="724"/>
      <c r="AI6" s="726" t="s">
        <v>589</v>
      </c>
      <c r="AJ6" s="726" t="s">
        <v>592</v>
      </c>
      <c r="AK6" s="762"/>
      <c r="AL6" s="756"/>
      <c r="AM6" s="758"/>
      <c r="AN6" s="724"/>
      <c r="AO6" s="724"/>
      <c r="AP6" s="724"/>
      <c r="AQ6" s="724"/>
      <c r="AR6" s="745"/>
      <c r="AS6" s="724"/>
      <c r="AT6" s="724"/>
      <c r="AU6" s="724"/>
      <c r="AV6" s="724"/>
      <c r="AW6" s="724"/>
      <c r="AX6" s="724"/>
      <c r="AY6" s="724"/>
      <c r="AZ6" s="724"/>
      <c r="BA6" s="744"/>
      <c r="BB6" s="724"/>
      <c r="BC6" s="724"/>
      <c r="BD6" s="724"/>
      <c r="BE6" s="737"/>
      <c r="BF6" s="781"/>
      <c r="BG6" s="783"/>
      <c r="BH6" s="773"/>
    </row>
    <row r="7" spans="1:60" ht="16.5" customHeight="1">
      <c r="A7" s="738"/>
      <c r="B7" s="739"/>
      <c r="C7" s="724"/>
      <c r="D7" s="724"/>
      <c r="E7" s="724"/>
      <c r="F7" s="738"/>
      <c r="G7" s="739"/>
      <c r="H7" s="738"/>
      <c r="I7" s="742"/>
      <c r="J7" s="742"/>
      <c r="K7" s="739"/>
      <c r="L7" s="738"/>
      <c r="M7" s="742"/>
      <c r="N7" s="739"/>
      <c r="O7" s="738"/>
      <c r="P7" s="739"/>
      <c r="Q7" s="724"/>
      <c r="R7" s="724"/>
      <c r="S7" s="724"/>
      <c r="T7" s="748"/>
      <c r="U7" s="749"/>
      <c r="V7" s="724"/>
      <c r="W7" s="726"/>
      <c r="X7" s="726"/>
      <c r="Y7" s="724"/>
      <c r="Z7" s="724"/>
      <c r="AA7" s="731"/>
      <c r="AB7" s="724"/>
      <c r="AC7" s="732"/>
      <c r="AD7" s="726"/>
      <c r="AE7" s="726"/>
      <c r="AF7" s="726"/>
      <c r="AG7" s="724"/>
      <c r="AH7" s="724"/>
      <c r="AI7" s="726"/>
      <c r="AJ7" s="726"/>
      <c r="AK7" s="762"/>
      <c r="AL7" s="756"/>
      <c r="AM7" s="758"/>
      <c r="AN7" s="724"/>
      <c r="AO7" s="724"/>
      <c r="AP7" s="724"/>
      <c r="AQ7" s="724"/>
      <c r="AR7" s="745"/>
      <c r="AS7" s="724"/>
      <c r="AT7" s="724"/>
      <c r="AU7" s="724"/>
      <c r="AV7" s="724"/>
      <c r="AW7" s="724"/>
      <c r="AX7" s="724"/>
      <c r="AY7" s="724"/>
      <c r="AZ7" s="724"/>
      <c r="BA7" s="744"/>
      <c r="BB7" s="724"/>
      <c r="BC7" s="724"/>
      <c r="BD7" s="724"/>
      <c r="BE7" s="737"/>
      <c r="BF7" s="781"/>
      <c r="BG7" s="783"/>
      <c r="BH7" s="773"/>
    </row>
    <row r="8" spans="1:60" ht="16.5" customHeight="1">
      <c r="A8" s="738"/>
      <c r="B8" s="739"/>
      <c r="C8" s="724"/>
      <c r="D8" s="724"/>
      <c r="E8" s="724"/>
      <c r="F8" s="740"/>
      <c r="G8" s="741"/>
      <c r="H8" s="740"/>
      <c r="I8" s="743"/>
      <c r="J8" s="743"/>
      <c r="K8" s="741"/>
      <c r="L8" s="740"/>
      <c r="M8" s="743"/>
      <c r="N8" s="741"/>
      <c r="O8" s="740"/>
      <c r="P8" s="741"/>
      <c r="Q8" s="725"/>
      <c r="R8" s="725"/>
      <c r="S8" s="725"/>
      <c r="T8" s="748"/>
      <c r="U8" s="749"/>
      <c r="V8" s="725"/>
      <c r="W8" s="726"/>
      <c r="X8" s="726"/>
      <c r="Y8" s="725"/>
      <c r="Z8" s="725"/>
      <c r="AA8" s="731"/>
      <c r="AB8" s="725"/>
      <c r="AC8" s="732"/>
      <c r="AD8" s="726"/>
      <c r="AE8" s="726"/>
      <c r="AF8" s="726"/>
      <c r="AG8" s="725"/>
      <c r="AH8" s="725"/>
      <c r="AI8" s="726"/>
      <c r="AJ8" s="726"/>
      <c r="AK8" s="762"/>
      <c r="AL8" s="756"/>
      <c r="AM8" s="758"/>
      <c r="AN8" s="725"/>
      <c r="AO8" s="725"/>
      <c r="AP8" s="725"/>
      <c r="AQ8" s="725"/>
      <c r="AR8" s="745"/>
      <c r="AS8" s="725"/>
      <c r="AT8" s="725"/>
      <c r="AU8" s="725"/>
      <c r="AV8" s="725"/>
      <c r="AW8" s="725"/>
      <c r="AX8" s="725"/>
      <c r="AY8" s="725"/>
      <c r="AZ8" s="725"/>
      <c r="BA8" s="744"/>
      <c r="BB8" s="725"/>
      <c r="BC8" s="725"/>
      <c r="BD8" s="725"/>
      <c r="BE8" s="737"/>
      <c r="BF8" s="781"/>
      <c r="BG8" s="783"/>
      <c r="BH8" s="773"/>
    </row>
    <row r="9" spans="1:60" ht="14.25" customHeight="1">
      <c r="A9" s="727" t="s">
        <v>593</v>
      </c>
      <c r="B9" s="728"/>
      <c r="C9" s="128"/>
      <c r="D9" s="128"/>
      <c r="E9" s="129"/>
      <c r="F9" s="129"/>
      <c r="G9" s="129"/>
      <c r="H9" s="129"/>
      <c r="I9" s="129"/>
      <c r="J9" s="129"/>
      <c r="K9" s="129"/>
      <c r="L9" s="129"/>
      <c r="M9" s="129"/>
      <c r="N9" s="129"/>
      <c r="O9" s="129"/>
      <c r="P9" s="129"/>
      <c r="Q9" s="129"/>
      <c r="R9" s="129"/>
      <c r="S9" s="129"/>
      <c r="T9" s="748"/>
      <c r="U9" s="749"/>
      <c r="V9" s="130"/>
      <c r="W9" s="130"/>
      <c r="X9" s="131"/>
      <c r="Y9" s="132"/>
      <c r="Z9" s="132"/>
      <c r="AA9" s="731"/>
      <c r="AB9" s="132"/>
      <c r="AC9" s="732"/>
      <c r="AD9" s="130"/>
      <c r="AE9" s="130"/>
      <c r="AF9" s="130"/>
      <c r="AG9" s="132"/>
      <c r="AH9" s="130"/>
      <c r="AI9" s="130"/>
      <c r="AJ9" s="130"/>
      <c r="AK9" s="762"/>
      <c r="AL9" s="756"/>
      <c r="AM9" s="758"/>
      <c r="AN9" s="130"/>
      <c r="AO9" s="130"/>
      <c r="AP9" s="130"/>
      <c r="AQ9" s="130"/>
      <c r="AR9" s="745"/>
      <c r="AS9" s="130"/>
      <c r="AT9" s="130"/>
      <c r="AU9" s="130"/>
      <c r="AV9" s="130"/>
      <c r="AW9" s="130"/>
      <c r="AX9" s="130"/>
      <c r="AY9" s="130"/>
      <c r="AZ9" s="130"/>
      <c r="BA9" s="744"/>
      <c r="BB9" s="133"/>
      <c r="BC9" s="132"/>
      <c r="BD9" s="132"/>
      <c r="BE9" s="737"/>
      <c r="BF9" s="781"/>
      <c r="BG9" s="783"/>
      <c r="BH9" s="773"/>
    </row>
    <row r="10" spans="1:60" s="127" customFormat="1" ht="14.25" customHeight="1">
      <c r="A10" s="729" t="s">
        <v>594</v>
      </c>
      <c r="B10" s="730"/>
      <c r="C10" s="134"/>
      <c r="D10" s="135">
        <v>493.65</v>
      </c>
      <c r="E10" s="135">
        <v>2376.92</v>
      </c>
      <c r="F10" s="135">
        <v>1862.4</v>
      </c>
      <c r="G10" s="135">
        <v>1862.4</v>
      </c>
      <c r="H10" s="135">
        <v>1939.84</v>
      </c>
      <c r="I10" s="135">
        <v>1867.39</v>
      </c>
      <c r="J10" s="135">
        <v>1867.39</v>
      </c>
      <c r="K10" s="135">
        <v>1867.39</v>
      </c>
      <c r="L10" s="134"/>
      <c r="M10" s="134"/>
      <c r="N10" s="134"/>
      <c r="O10" s="134"/>
      <c r="P10" s="134"/>
      <c r="Q10" s="134" t="s">
        <v>595</v>
      </c>
      <c r="R10" s="136"/>
      <c r="S10" s="136"/>
      <c r="T10" s="748"/>
      <c r="U10" s="749"/>
      <c r="V10" s="137" t="s">
        <v>596</v>
      </c>
      <c r="W10" s="137"/>
      <c r="X10" s="138">
        <v>1066.66</v>
      </c>
      <c r="Y10" s="139"/>
      <c r="Z10" s="139"/>
      <c r="AA10" s="731"/>
      <c r="AB10" s="139"/>
      <c r="AC10" s="732"/>
      <c r="AD10" s="137" t="s">
        <v>597</v>
      </c>
      <c r="AE10" s="137"/>
      <c r="AF10" s="137" t="s">
        <v>597</v>
      </c>
      <c r="AG10" s="137" t="s">
        <v>597</v>
      </c>
      <c r="AH10" s="140">
        <v>126.41</v>
      </c>
      <c r="AI10" s="137"/>
      <c r="AJ10" s="137" t="s">
        <v>598</v>
      </c>
      <c r="AK10" s="762"/>
      <c r="AL10" s="756"/>
      <c r="AM10" s="758"/>
      <c r="AN10" s="140" t="s">
        <v>599</v>
      </c>
      <c r="AO10" s="140" t="s">
        <v>599</v>
      </c>
      <c r="AP10" s="140">
        <v>23.15</v>
      </c>
      <c r="AQ10" s="138">
        <v>21.71</v>
      </c>
      <c r="AR10" s="745"/>
      <c r="AS10" s="137" t="s">
        <v>600</v>
      </c>
      <c r="AT10" s="140">
        <v>211.1</v>
      </c>
      <c r="AU10" s="140">
        <v>0.16</v>
      </c>
      <c r="AV10" s="137" t="s">
        <v>601</v>
      </c>
      <c r="AW10" s="137"/>
      <c r="AX10" s="137" t="s">
        <v>601</v>
      </c>
      <c r="AY10" s="137" t="s">
        <v>602</v>
      </c>
      <c r="AZ10" s="138">
        <v>6000</v>
      </c>
      <c r="BA10" s="744"/>
      <c r="BB10" s="141"/>
      <c r="BC10" s="139"/>
      <c r="BD10" s="139"/>
      <c r="BE10" s="737"/>
      <c r="BF10" s="781"/>
      <c r="BG10" s="783"/>
      <c r="BH10" s="773"/>
    </row>
    <row r="11" spans="1:60" s="127" customFormat="1" ht="14.25" customHeight="1">
      <c r="A11" s="729" t="s">
        <v>603</v>
      </c>
      <c r="B11" s="730"/>
      <c r="C11" s="136"/>
      <c r="D11" s="136"/>
      <c r="E11" s="136"/>
      <c r="F11" s="136"/>
      <c r="G11" s="136"/>
      <c r="H11" s="134"/>
      <c r="I11" s="134"/>
      <c r="J11" s="134"/>
      <c r="K11" s="134"/>
      <c r="L11" s="135">
        <v>2423.09</v>
      </c>
      <c r="M11" s="135">
        <v>2423.09</v>
      </c>
      <c r="N11" s="135">
        <v>2423.09</v>
      </c>
      <c r="O11" s="135">
        <v>2774.9</v>
      </c>
      <c r="P11" s="135">
        <v>3003.65</v>
      </c>
      <c r="Q11" s="135" t="s">
        <v>595</v>
      </c>
      <c r="R11" s="134"/>
      <c r="S11" s="136"/>
      <c r="T11" s="748"/>
      <c r="U11" s="749"/>
      <c r="V11" s="139"/>
      <c r="W11" s="139"/>
      <c r="X11" s="139"/>
      <c r="Y11" s="137"/>
      <c r="Z11" s="137"/>
      <c r="AA11" s="731"/>
      <c r="AB11" s="139"/>
      <c r="AC11" s="732"/>
      <c r="AD11" s="137" t="s">
        <v>597</v>
      </c>
      <c r="AE11" s="137" t="s">
        <v>597</v>
      </c>
      <c r="AF11" s="137" t="s">
        <v>597</v>
      </c>
      <c r="AG11" s="137" t="s">
        <v>597</v>
      </c>
      <c r="AH11" s="140">
        <v>295.51</v>
      </c>
      <c r="AI11" s="137"/>
      <c r="AJ11" s="137" t="s">
        <v>598</v>
      </c>
      <c r="AK11" s="762"/>
      <c r="AL11" s="756"/>
      <c r="AM11" s="758"/>
      <c r="AN11" s="140" t="s">
        <v>599</v>
      </c>
      <c r="AO11" s="140" t="s">
        <v>599</v>
      </c>
      <c r="AP11" s="140">
        <v>21.6</v>
      </c>
      <c r="AQ11" s="138">
        <v>13.69</v>
      </c>
      <c r="AR11" s="745"/>
      <c r="AS11" s="137" t="s">
        <v>600</v>
      </c>
      <c r="AT11" s="140">
        <v>161.79</v>
      </c>
      <c r="AU11" s="137"/>
      <c r="AV11" s="137"/>
      <c r="AW11" s="140">
        <v>6.64</v>
      </c>
      <c r="AX11" s="137" t="s">
        <v>601</v>
      </c>
      <c r="AY11" s="137" t="s">
        <v>602</v>
      </c>
      <c r="AZ11" s="138">
        <v>6000</v>
      </c>
      <c r="BA11" s="744"/>
      <c r="BB11" s="141"/>
      <c r="BC11" s="139"/>
      <c r="BD11" s="139"/>
      <c r="BE11" s="737"/>
      <c r="BF11" s="781"/>
      <c r="BG11" s="783"/>
      <c r="BH11" s="773"/>
    </row>
    <row r="12" spans="1:108" ht="18.75" customHeight="1">
      <c r="A12" s="733" t="s">
        <v>406</v>
      </c>
      <c r="B12" s="735" t="s">
        <v>407</v>
      </c>
      <c r="C12" s="722" t="s">
        <v>604</v>
      </c>
      <c r="D12" s="722" t="s">
        <v>604</v>
      </c>
      <c r="E12" s="722" t="s">
        <v>604</v>
      </c>
      <c r="F12" s="722" t="s">
        <v>604</v>
      </c>
      <c r="G12" s="722" t="s">
        <v>604</v>
      </c>
      <c r="H12" s="722" t="s">
        <v>604</v>
      </c>
      <c r="I12" s="722" t="s">
        <v>604</v>
      </c>
      <c r="J12" s="722" t="s">
        <v>604</v>
      </c>
      <c r="K12" s="722" t="s">
        <v>604</v>
      </c>
      <c r="L12" s="722" t="s">
        <v>604</v>
      </c>
      <c r="M12" s="722" t="s">
        <v>604</v>
      </c>
      <c r="N12" s="722" t="s">
        <v>604</v>
      </c>
      <c r="O12" s="722" t="s">
        <v>604</v>
      </c>
      <c r="P12" s="722" t="s">
        <v>604</v>
      </c>
      <c r="Q12" s="142"/>
      <c r="R12" s="722" t="s">
        <v>604</v>
      </c>
      <c r="S12" s="722" t="s">
        <v>604</v>
      </c>
      <c r="T12" s="724" t="s">
        <v>605</v>
      </c>
      <c r="U12" s="720" t="s">
        <v>408</v>
      </c>
      <c r="V12" s="706" t="s">
        <v>408</v>
      </c>
      <c r="W12" s="706" t="s">
        <v>408</v>
      </c>
      <c r="X12" s="706" t="s">
        <v>408</v>
      </c>
      <c r="Y12" s="706" t="s">
        <v>408</v>
      </c>
      <c r="Z12" s="706" t="s">
        <v>408</v>
      </c>
      <c r="AA12" s="718" t="s">
        <v>408</v>
      </c>
      <c r="AB12" s="706" t="s">
        <v>408</v>
      </c>
      <c r="AC12" s="716" t="s">
        <v>408</v>
      </c>
      <c r="AD12" s="706" t="s">
        <v>408</v>
      </c>
      <c r="AE12" s="706" t="s">
        <v>408</v>
      </c>
      <c r="AF12" s="706" t="s">
        <v>408</v>
      </c>
      <c r="AG12" s="706" t="s">
        <v>408</v>
      </c>
      <c r="AH12" s="706" t="s">
        <v>408</v>
      </c>
      <c r="AI12" s="706" t="s">
        <v>408</v>
      </c>
      <c r="AJ12" s="706" t="s">
        <v>408</v>
      </c>
      <c r="AK12" s="710" t="s">
        <v>408</v>
      </c>
      <c r="AL12" s="712" t="s">
        <v>408</v>
      </c>
      <c r="AM12" s="714" t="s">
        <v>408</v>
      </c>
      <c r="AN12" s="706" t="s">
        <v>408</v>
      </c>
      <c r="AO12" s="706" t="s">
        <v>408</v>
      </c>
      <c r="AP12" s="706" t="s">
        <v>408</v>
      </c>
      <c r="AQ12" s="706" t="s">
        <v>408</v>
      </c>
      <c r="AR12" s="708" t="s">
        <v>408</v>
      </c>
      <c r="AS12" s="706" t="s">
        <v>408</v>
      </c>
      <c r="AT12" s="706" t="s">
        <v>408</v>
      </c>
      <c r="AU12" s="706" t="s">
        <v>408</v>
      </c>
      <c r="AV12" s="706" t="s">
        <v>408</v>
      </c>
      <c r="AW12" s="706" t="s">
        <v>408</v>
      </c>
      <c r="AX12" s="706" t="s">
        <v>408</v>
      </c>
      <c r="AY12" s="706" t="s">
        <v>408</v>
      </c>
      <c r="AZ12" s="706" t="s">
        <v>408</v>
      </c>
      <c r="BA12" s="704" t="s">
        <v>408</v>
      </c>
      <c r="BB12" s="706" t="s">
        <v>408</v>
      </c>
      <c r="BC12" s="706" t="s">
        <v>408</v>
      </c>
      <c r="BD12" s="706" t="s">
        <v>408</v>
      </c>
      <c r="BE12" s="698" t="s">
        <v>408</v>
      </c>
      <c r="BF12" s="700" t="s">
        <v>408</v>
      </c>
      <c r="BG12" s="702" t="s">
        <v>408</v>
      </c>
      <c r="BH12" s="773"/>
      <c r="DD12" t="s">
        <v>606</v>
      </c>
    </row>
    <row r="13" spans="1:123" ht="18.75" customHeight="1">
      <c r="A13" s="734"/>
      <c r="B13" s="736"/>
      <c r="C13" s="723"/>
      <c r="D13" s="723"/>
      <c r="E13" s="723"/>
      <c r="F13" s="723"/>
      <c r="G13" s="723"/>
      <c r="H13" s="723"/>
      <c r="I13" s="723"/>
      <c r="J13" s="723"/>
      <c r="K13" s="723"/>
      <c r="L13" s="723"/>
      <c r="M13" s="723"/>
      <c r="N13" s="723"/>
      <c r="O13" s="723"/>
      <c r="P13" s="723"/>
      <c r="Q13" s="143"/>
      <c r="R13" s="723"/>
      <c r="S13" s="723"/>
      <c r="T13" s="725"/>
      <c r="U13" s="721"/>
      <c r="V13" s="707"/>
      <c r="W13" s="707"/>
      <c r="X13" s="707"/>
      <c r="Y13" s="707"/>
      <c r="Z13" s="707"/>
      <c r="AA13" s="719"/>
      <c r="AB13" s="707"/>
      <c r="AC13" s="717"/>
      <c r="AD13" s="707"/>
      <c r="AE13" s="707"/>
      <c r="AF13" s="707"/>
      <c r="AG13" s="707"/>
      <c r="AH13" s="707"/>
      <c r="AI13" s="707"/>
      <c r="AJ13" s="707"/>
      <c r="AK13" s="711"/>
      <c r="AL13" s="713"/>
      <c r="AM13" s="715"/>
      <c r="AN13" s="707"/>
      <c r="AO13" s="707"/>
      <c r="AP13" s="707"/>
      <c r="AQ13" s="707"/>
      <c r="AR13" s="709"/>
      <c r="AS13" s="707"/>
      <c r="AT13" s="707"/>
      <c r="AU13" s="707"/>
      <c r="AV13" s="707"/>
      <c r="AW13" s="707"/>
      <c r="AX13" s="707"/>
      <c r="AY13" s="707"/>
      <c r="AZ13" s="707"/>
      <c r="BA13" s="705"/>
      <c r="BB13" s="707"/>
      <c r="BC13" s="707"/>
      <c r="BD13" s="707"/>
      <c r="BE13" s="699"/>
      <c r="BF13" s="701"/>
      <c r="BG13" s="703"/>
      <c r="BH13" s="773"/>
      <c r="DD13" s="125" t="s">
        <v>607</v>
      </c>
      <c r="DE13" s="144" t="s">
        <v>608</v>
      </c>
      <c r="DF13" s="144" t="s">
        <v>609</v>
      </c>
      <c r="DG13" s="145" t="s">
        <v>610</v>
      </c>
      <c r="DH13" s="146" t="s">
        <v>611</v>
      </c>
      <c r="DI13" s="147" t="s">
        <v>612</v>
      </c>
      <c r="DJ13" s="148" t="s">
        <v>613</v>
      </c>
      <c r="DK13" s="149" t="s">
        <v>614</v>
      </c>
      <c r="DL13" s="150" t="s">
        <v>615</v>
      </c>
      <c r="DM13" s="151" t="s">
        <v>616</v>
      </c>
      <c r="DN13" s="152" t="s">
        <v>617</v>
      </c>
      <c r="DO13" s="153" t="s">
        <v>618</v>
      </c>
      <c r="DP13" s="154" t="s">
        <v>619</v>
      </c>
      <c r="DQ13" s="144" t="s">
        <v>620</v>
      </c>
      <c r="DR13" s="144" t="s">
        <v>621</v>
      </c>
      <c r="DS13" s="155" t="s">
        <v>622</v>
      </c>
    </row>
    <row r="14" spans="1:122" ht="12">
      <c r="A14" s="696" t="s">
        <v>36</v>
      </c>
      <c r="B14" s="696"/>
      <c r="DD14" s="162" t="str">
        <f>A14</f>
        <v>Primary</v>
      </c>
      <c r="DR14" s="162"/>
    </row>
    <row r="15" spans="1:124" ht="12">
      <c r="A15" s="128" t="s">
        <v>444</v>
      </c>
      <c r="B15" s="128">
        <v>2064</v>
      </c>
      <c r="C15" s="156"/>
      <c r="D15" s="172">
        <v>15</v>
      </c>
      <c r="E15" s="172">
        <v>21</v>
      </c>
      <c r="F15" s="172">
        <v>21</v>
      </c>
      <c r="G15" s="172">
        <v>29</v>
      </c>
      <c r="H15" s="172">
        <v>28</v>
      </c>
      <c r="I15" s="172">
        <v>36</v>
      </c>
      <c r="J15" s="172">
        <v>21</v>
      </c>
      <c r="K15" s="172">
        <v>49</v>
      </c>
      <c r="L15" s="156"/>
      <c r="M15" s="156"/>
      <c r="N15" s="156"/>
      <c r="O15" s="156"/>
      <c r="P15" s="156"/>
      <c r="Q15" s="173">
        <v>0</v>
      </c>
      <c r="R15" s="157"/>
      <c r="S15" s="159"/>
      <c r="T15" s="172">
        <f>SUM(C15:Q15)</f>
        <v>220</v>
      </c>
      <c r="U15" s="156">
        <f aca="true" t="shared" si="0" ref="U15:U78">IF(ISERROR($C$10*C15),0,$C$10*C15)+IF(ISERROR($D$10*D15),0,$D$10*D15)+IF(ISERROR($E$10*E15),0,$E$10*E15)+IF(ISERROR($F$10*F15),0,$F$10*F15)+IF(ISERROR($G$10*G15),0,$G$10*G15)+IF(ISERROR($H$10*H15),0,$H$10*H15)+IF(ISERROR($I$10*I15),0,$I$10*I15)+IF(ISERROR($J$10*J15),0,$J$10*J15)+IF(ISERROR($K$10*K15),0,$K$10*K15)+IF(ISERROR($L$10*L15),0,$L$10*L15)+IF(ISERROR($M$10*M15),0,$M$10*M15)+IF(ISERROR($N$10*N15),0,$N$10*N15)+IF(ISERROR($O$10*O15),0,$O$10*O15)+IF(ISERROR($P$10*P15),0,$P$10*P15)</f>
        <v>402698.93</v>
      </c>
      <c r="V15" s="156">
        <v>33065</v>
      </c>
      <c r="W15" s="156"/>
      <c r="X15" s="156">
        <v>13867</v>
      </c>
      <c r="Y15" s="156"/>
      <c r="Z15" s="156"/>
      <c r="AA15" s="156">
        <f aca="true" t="shared" si="1" ref="AA15:AA78">SUM(V15:Z15)</f>
        <v>46932</v>
      </c>
      <c r="AB15" s="156"/>
      <c r="AC15" s="160"/>
      <c r="AD15" s="156">
        <v>0</v>
      </c>
      <c r="AE15" s="156"/>
      <c r="AF15" s="156">
        <v>32893</v>
      </c>
      <c r="AG15" s="156">
        <v>2876</v>
      </c>
      <c r="AH15" s="156">
        <v>13399</v>
      </c>
      <c r="AI15" s="156"/>
      <c r="AJ15" s="156">
        <v>0</v>
      </c>
      <c r="AK15" s="156">
        <f aca="true" t="shared" si="2" ref="AK15:AK78">SUM(AD15:AJ15)</f>
        <v>49168</v>
      </c>
      <c r="AL15" s="156">
        <v>0</v>
      </c>
      <c r="AM15" s="156">
        <v>0</v>
      </c>
      <c r="AN15" s="156">
        <v>11128</v>
      </c>
      <c r="AO15" s="156">
        <v>976</v>
      </c>
      <c r="AP15" s="156">
        <v>31669</v>
      </c>
      <c r="AQ15" s="156">
        <v>4984</v>
      </c>
      <c r="AR15" s="156">
        <f aca="true" t="shared" si="3" ref="AR15:AR78">SUM(AN15:AQ15)</f>
        <v>48757</v>
      </c>
      <c r="AS15" s="156">
        <v>69277</v>
      </c>
      <c r="AT15" s="156">
        <v>0</v>
      </c>
      <c r="AU15" s="156">
        <v>992</v>
      </c>
      <c r="AV15" s="156">
        <v>19146</v>
      </c>
      <c r="AW15" s="156"/>
      <c r="AX15" s="156">
        <v>0</v>
      </c>
      <c r="AY15" s="156">
        <v>9051</v>
      </c>
      <c r="AZ15" s="156">
        <v>6000</v>
      </c>
      <c r="BA15" s="156">
        <f aca="true" t="shared" si="4" ref="BA15:BA78">SUM(AS15:AZ15)</f>
        <v>104466</v>
      </c>
      <c r="BB15" s="156"/>
      <c r="BC15" s="156"/>
      <c r="BD15" s="156"/>
      <c r="BE15" s="156">
        <f aca="true" t="shared" si="5" ref="BE15:BE78">SUM(BB15:BD15)</f>
        <v>0</v>
      </c>
      <c r="BF15" s="156">
        <v>0</v>
      </c>
      <c r="BG15" s="156">
        <f aca="true" t="shared" si="6" ref="BG15:BG78">IF(ISERROR(SUM(U15,AA15,AC15,AK15,AL15,AM15,AR15,BA15,BE15,BF15)),0,SUM(U15,AA15,AC15,AK15,AL15,AM15,AR15,BA15,BE15,BF15))</f>
        <v>652021.9299999999</v>
      </c>
      <c r="DD15" s="175"/>
      <c r="DE15" s="126" t="s">
        <v>33</v>
      </c>
      <c r="DF15" s="126" t="s">
        <v>33</v>
      </c>
      <c r="DG15" s="126" t="s">
        <v>33</v>
      </c>
      <c r="DH15" s="126" t="s">
        <v>33</v>
      </c>
      <c r="DI15" s="176"/>
      <c r="DJ15" s="126" t="s">
        <v>33</v>
      </c>
      <c r="DK15" s="126" t="s">
        <v>33</v>
      </c>
      <c r="DL15" s="126" t="s">
        <v>33</v>
      </c>
      <c r="DM15" s="126" t="s">
        <v>33</v>
      </c>
      <c r="DN15" s="126" t="s">
        <v>33</v>
      </c>
      <c r="DO15" s="126" t="s">
        <v>33</v>
      </c>
      <c r="DP15" s="126" t="s">
        <v>33</v>
      </c>
      <c r="DQ15" s="126" t="s">
        <v>33</v>
      </c>
      <c r="DR15" s="161"/>
      <c r="DS15" s="126" t="s">
        <v>33</v>
      </c>
      <c r="DT15" s="122">
        <f aca="true" t="shared" si="7" ref="DT15:DT78">IF(LEN(TRIM(DE15&amp;DF15&amp;DG15&amp;DH15&amp;DI15&amp;DJ15&amp;DK15&amp;DL15&amp;DM15&amp;DN15&amp;DO15&amp;DP15&amp;DQ15&amp;DS15))&gt;0,1,0)</f>
        <v>0</v>
      </c>
    </row>
    <row r="16" spans="1:124" ht="12">
      <c r="A16" s="128" t="s">
        <v>445</v>
      </c>
      <c r="B16" s="128">
        <v>2050</v>
      </c>
      <c r="C16" s="156"/>
      <c r="D16" s="172">
        <v>30</v>
      </c>
      <c r="E16" s="172">
        <v>87</v>
      </c>
      <c r="F16" s="172">
        <v>80</v>
      </c>
      <c r="G16" s="172">
        <v>87</v>
      </c>
      <c r="H16" s="172">
        <v>87</v>
      </c>
      <c r="I16" s="172">
        <v>90</v>
      </c>
      <c r="J16" s="172">
        <v>89</v>
      </c>
      <c r="K16" s="172">
        <v>80</v>
      </c>
      <c r="L16" s="156"/>
      <c r="M16" s="156"/>
      <c r="N16" s="156"/>
      <c r="O16" s="156"/>
      <c r="P16" s="156"/>
      <c r="Q16" s="173">
        <v>0</v>
      </c>
      <c r="R16" s="157"/>
      <c r="S16" s="159"/>
      <c r="T16" s="172">
        <f aca="true" t="shared" si="8" ref="T16:T79">SUM(C16:Q16)</f>
        <v>630</v>
      </c>
      <c r="U16" s="156">
        <f t="shared" si="0"/>
        <v>1185042.43</v>
      </c>
      <c r="V16" s="156">
        <v>66129</v>
      </c>
      <c r="W16" s="156"/>
      <c r="X16" s="156">
        <v>3200</v>
      </c>
      <c r="Y16" s="156"/>
      <c r="Z16" s="156"/>
      <c r="AA16" s="156">
        <f t="shared" si="1"/>
        <v>69329</v>
      </c>
      <c r="AB16" s="156"/>
      <c r="AC16" s="160"/>
      <c r="AD16" s="156">
        <v>38228</v>
      </c>
      <c r="AE16" s="156"/>
      <c r="AF16" s="156">
        <v>27997</v>
      </c>
      <c r="AG16" s="156">
        <v>2450</v>
      </c>
      <c r="AH16" s="156">
        <v>885</v>
      </c>
      <c r="AI16" s="156"/>
      <c r="AJ16" s="156">
        <v>0</v>
      </c>
      <c r="AK16" s="156">
        <f t="shared" si="2"/>
        <v>69560</v>
      </c>
      <c r="AL16" s="156">
        <v>0</v>
      </c>
      <c r="AM16" s="156">
        <v>0</v>
      </c>
      <c r="AN16" s="156">
        <v>31826</v>
      </c>
      <c r="AO16" s="156">
        <v>1717</v>
      </c>
      <c r="AP16" s="156">
        <v>53963</v>
      </c>
      <c r="AQ16" s="156">
        <v>3129</v>
      </c>
      <c r="AR16" s="156">
        <f t="shared" si="3"/>
        <v>90635</v>
      </c>
      <c r="AS16" s="156">
        <v>69277</v>
      </c>
      <c r="AT16" s="156">
        <v>0</v>
      </c>
      <c r="AU16" s="156">
        <v>9440</v>
      </c>
      <c r="AV16" s="156">
        <v>0</v>
      </c>
      <c r="AW16" s="156"/>
      <c r="AX16" s="156">
        <v>0</v>
      </c>
      <c r="AY16" s="156">
        <v>19528</v>
      </c>
      <c r="AZ16" s="156">
        <v>0</v>
      </c>
      <c r="BA16" s="156">
        <f t="shared" si="4"/>
        <v>98245</v>
      </c>
      <c r="BB16" s="156"/>
      <c r="BC16" s="156"/>
      <c r="BD16" s="156"/>
      <c r="BE16" s="156">
        <f t="shared" si="5"/>
        <v>0</v>
      </c>
      <c r="BF16" s="156">
        <v>0</v>
      </c>
      <c r="BG16" s="156">
        <f t="shared" si="6"/>
        <v>1512811.43</v>
      </c>
      <c r="DD16" s="175"/>
      <c r="DE16" s="126" t="s">
        <v>33</v>
      </c>
      <c r="DF16" s="126" t="s">
        <v>33</v>
      </c>
      <c r="DG16" s="126" t="s">
        <v>33</v>
      </c>
      <c r="DH16" s="126" t="s">
        <v>33</v>
      </c>
      <c r="DI16" s="176"/>
      <c r="DJ16" s="126" t="s">
        <v>33</v>
      </c>
      <c r="DK16" s="126" t="s">
        <v>33</v>
      </c>
      <c r="DL16" s="126" t="s">
        <v>33</v>
      </c>
      <c r="DM16" s="126" t="s">
        <v>33</v>
      </c>
      <c r="DN16" s="126" t="s">
        <v>33</v>
      </c>
      <c r="DO16" s="126" t="s">
        <v>33</v>
      </c>
      <c r="DP16" s="126" t="s">
        <v>33</v>
      </c>
      <c r="DQ16" s="126" t="s">
        <v>33</v>
      </c>
      <c r="DR16" s="161"/>
      <c r="DS16" s="126" t="s">
        <v>33</v>
      </c>
      <c r="DT16" s="122">
        <f t="shared" si="7"/>
        <v>0</v>
      </c>
    </row>
    <row r="17" spans="1:124" ht="12">
      <c r="A17" s="128" t="s">
        <v>446</v>
      </c>
      <c r="B17" s="128">
        <v>2062</v>
      </c>
      <c r="C17" s="156"/>
      <c r="D17" s="172">
        <v>10</v>
      </c>
      <c r="E17" s="172">
        <v>25</v>
      </c>
      <c r="F17" s="172">
        <v>30</v>
      </c>
      <c r="G17" s="172">
        <v>25</v>
      </c>
      <c r="H17" s="172">
        <v>24</v>
      </c>
      <c r="I17" s="172">
        <v>31</v>
      </c>
      <c r="J17" s="172">
        <v>25</v>
      </c>
      <c r="K17" s="172">
        <v>24</v>
      </c>
      <c r="L17" s="156"/>
      <c r="M17" s="156"/>
      <c r="N17" s="156"/>
      <c r="O17" s="156"/>
      <c r="P17" s="156"/>
      <c r="Q17" s="173">
        <v>0</v>
      </c>
      <c r="R17" s="157"/>
      <c r="S17" s="159"/>
      <c r="T17" s="172">
        <f t="shared" si="8"/>
        <v>194</v>
      </c>
      <c r="U17" s="156">
        <f t="shared" si="0"/>
        <v>362738.86</v>
      </c>
      <c r="V17" s="156">
        <v>24533</v>
      </c>
      <c r="W17" s="156"/>
      <c r="X17" s="156">
        <v>5333</v>
      </c>
      <c r="Y17" s="156"/>
      <c r="Z17" s="156"/>
      <c r="AA17" s="156">
        <f t="shared" si="1"/>
        <v>29866</v>
      </c>
      <c r="AB17" s="156"/>
      <c r="AC17" s="160"/>
      <c r="AD17" s="156">
        <v>21025</v>
      </c>
      <c r="AE17" s="156"/>
      <c r="AF17" s="156">
        <v>27396</v>
      </c>
      <c r="AG17" s="156">
        <v>2397</v>
      </c>
      <c r="AH17" s="156">
        <v>9607</v>
      </c>
      <c r="AI17" s="156"/>
      <c r="AJ17" s="156">
        <v>0</v>
      </c>
      <c r="AK17" s="156">
        <f t="shared" si="2"/>
        <v>60425</v>
      </c>
      <c r="AL17" s="156">
        <v>0</v>
      </c>
      <c r="AM17" s="156">
        <v>0</v>
      </c>
      <c r="AN17" s="156">
        <v>9093</v>
      </c>
      <c r="AO17" s="156">
        <v>1055</v>
      </c>
      <c r="AP17" s="156">
        <v>28243</v>
      </c>
      <c r="AQ17" s="156">
        <v>5041</v>
      </c>
      <c r="AR17" s="156">
        <f t="shared" si="3"/>
        <v>43432</v>
      </c>
      <c r="AS17" s="156">
        <v>69277</v>
      </c>
      <c r="AT17" s="156">
        <v>0</v>
      </c>
      <c r="AU17" s="156">
        <v>800</v>
      </c>
      <c r="AV17" s="156">
        <v>26207</v>
      </c>
      <c r="AW17" s="156"/>
      <c r="AX17" s="156">
        <v>0</v>
      </c>
      <c r="AY17" s="156">
        <v>7306</v>
      </c>
      <c r="AZ17" s="156">
        <v>6000</v>
      </c>
      <c r="BA17" s="156">
        <f t="shared" si="4"/>
        <v>109590</v>
      </c>
      <c r="BB17" s="156"/>
      <c r="BC17" s="156"/>
      <c r="BD17" s="156"/>
      <c r="BE17" s="156">
        <f t="shared" si="5"/>
        <v>0</v>
      </c>
      <c r="BF17" s="156">
        <v>0</v>
      </c>
      <c r="BG17" s="156">
        <f t="shared" si="6"/>
        <v>606051.86</v>
      </c>
      <c r="DD17" s="175"/>
      <c r="DE17" s="126" t="s">
        <v>33</v>
      </c>
      <c r="DF17" s="126" t="s">
        <v>33</v>
      </c>
      <c r="DG17" s="126" t="s">
        <v>33</v>
      </c>
      <c r="DH17" s="126" t="s">
        <v>33</v>
      </c>
      <c r="DI17" s="176"/>
      <c r="DJ17" s="126" t="s">
        <v>33</v>
      </c>
      <c r="DK17" s="126" t="s">
        <v>33</v>
      </c>
      <c r="DL17" s="126" t="s">
        <v>33</v>
      </c>
      <c r="DM17" s="126" t="s">
        <v>33</v>
      </c>
      <c r="DN17" s="126" t="s">
        <v>33</v>
      </c>
      <c r="DO17" s="126" t="s">
        <v>33</v>
      </c>
      <c r="DP17" s="126" t="s">
        <v>33</v>
      </c>
      <c r="DQ17" s="126" t="s">
        <v>33</v>
      </c>
      <c r="DR17" s="161"/>
      <c r="DS17" s="126" t="s">
        <v>33</v>
      </c>
      <c r="DT17" s="122">
        <f t="shared" si="7"/>
        <v>0</v>
      </c>
    </row>
    <row r="18" spans="1:124" ht="12">
      <c r="A18" s="128" t="s">
        <v>447</v>
      </c>
      <c r="B18" s="128">
        <v>3011</v>
      </c>
      <c r="C18" s="156"/>
      <c r="D18" s="172">
        <v>20</v>
      </c>
      <c r="E18" s="172">
        <v>41</v>
      </c>
      <c r="F18" s="172">
        <v>52</v>
      </c>
      <c r="G18" s="172">
        <v>60</v>
      </c>
      <c r="H18" s="172">
        <v>60</v>
      </c>
      <c r="I18" s="172">
        <v>59</v>
      </c>
      <c r="J18" s="172">
        <v>60</v>
      </c>
      <c r="K18" s="172">
        <v>60</v>
      </c>
      <c r="L18" s="156"/>
      <c r="M18" s="156"/>
      <c r="N18" s="156"/>
      <c r="O18" s="156"/>
      <c r="P18" s="156"/>
      <c r="Q18" s="173">
        <v>0</v>
      </c>
      <c r="R18" s="157"/>
      <c r="S18" s="159"/>
      <c r="T18" s="172">
        <f t="shared" si="8"/>
        <v>412</v>
      </c>
      <c r="U18" s="156">
        <f t="shared" si="0"/>
        <v>766568.7300000001</v>
      </c>
      <c r="V18" s="156">
        <v>49064</v>
      </c>
      <c r="W18" s="156"/>
      <c r="X18" s="156">
        <v>20266</v>
      </c>
      <c r="Y18" s="156"/>
      <c r="Z18" s="156"/>
      <c r="AA18" s="156">
        <f t="shared" si="1"/>
        <v>69330</v>
      </c>
      <c r="AB18" s="156"/>
      <c r="AC18" s="160"/>
      <c r="AD18" s="156">
        <v>42051</v>
      </c>
      <c r="AE18" s="156"/>
      <c r="AF18" s="156">
        <v>9954</v>
      </c>
      <c r="AG18" s="156">
        <v>870</v>
      </c>
      <c r="AH18" s="156">
        <v>1137</v>
      </c>
      <c r="AI18" s="156"/>
      <c r="AJ18" s="156">
        <v>0</v>
      </c>
      <c r="AK18" s="156">
        <f t="shared" si="2"/>
        <v>54012</v>
      </c>
      <c r="AL18" s="156">
        <v>0</v>
      </c>
      <c r="AM18" s="156">
        <v>0</v>
      </c>
      <c r="AN18" s="156">
        <v>10912</v>
      </c>
      <c r="AO18" s="156">
        <v>816</v>
      </c>
      <c r="AP18" s="156">
        <v>33475</v>
      </c>
      <c r="AQ18" s="156">
        <v>4480</v>
      </c>
      <c r="AR18" s="156">
        <f t="shared" si="3"/>
        <v>49683</v>
      </c>
      <c r="AS18" s="156">
        <v>69277</v>
      </c>
      <c r="AT18" s="156">
        <v>0</v>
      </c>
      <c r="AU18" s="156">
        <v>4848</v>
      </c>
      <c r="AV18" s="156">
        <v>0</v>
      </c>
      <c r="AW18" s="156"/>
      <c r="AX18" s="156">
        <v>0</v>
      </c>
      <c r="AY18" s="156">
        <v>17231</v>
      </c>
      <c r="AZ18" s="156">
        <v>0</v>
      </c>
      <c r="BA18" s="156">
        <f t="shared" si="4"/>
        <v>91356</v>
      </c>
      <c r="BB18" s="156"/>
      <c r="BC18" s="156"/>
      <c r="BD18" s="156"/>
      <c r="BE18" s="156">
        <f t="shared" si="5"/>
        <v>0</v>
      </c>
      <c r="BF18" s="156">
        <v>0</v>
      </c>
      <c r="BG18" s="156">
        <f t="shared" si="6"/>
        <v>1030949.7300000001</v>
      </c>
      <c r="DD18" s="175"/>
      <c r="DE18" s="126" t="s">
        <v>33</v>
      </c>
      <c r="DF18" s="126" t="s">
        <v>33</v>
      </c>
      <c r="DG18" s="126" t="s">
        <v>33</v>
      </c>
      <c r="DH18" s="126" t="s">
        <v>33</v>
      </c>
      <c r="DI18" s="176"/>
      <c r="DJ18" s="126" t="s">
        <v>33</v>
      </c>
      <c r="DK18" s="126" t="s">
        <v>33</v>
      </c>
      <c r="DL18" s="126" t="s">
        <v>33</v>
      </c>
      <c r="DM18" s="126" t="s">
        <v>33</v>
      </c>
      <c r="DN18" s="126" t="s">
        <v>33</v>
      </c>
      <c r="DO18" s="126" t="s">
        <v>33</v>
      </c>
      <c r="DP18" s="126" t="s">
        <v>33</v>
      </c>
      <c r="DQ18" s="126" t="s">
        <v>33</v>
      </c>
      <c r="DR18" s="161"/>
      <c r="DS18" s="126" t="s">
        <v>33</v>
      </c>
      <c r="DT18" s="122">
        <f t="shared" si="7"/>
        <v>0</v>
      </c>
    </row>
    <row r="19" spans="1:124" ht="12">
      <c r="A19" s="128" t="s">
        <v>448</v>
      </c>
      <c r="B19" s="128">
        <v>3310</v>
      </c>
      <c r="C19" s="156"/>
      <c r="D19" s="172">
        <v>15</v>
      </c>
      <c r="E19" s="172">
        <v>30</v>
      </c>
      <c r="F19" s="172">
        <v>30</v>
      </c>
      <c r="G19" s="172">
        <v>27</v>
      </c>
      <c r="H19" s="172">
        <v>30</v>
      </c>
      <c r="I19" s="172">
        <v>24</v>
      </c>
      <c r="J19" s="172">
        <v>28</v>
      </c>
      <c r="K19" s="172">
        <v>27</v>
      </c>
      <c r="L19" s="156"/>
      <c r="M19" s="156"/>
      <c r="N19" s="156"/>
      <c r="O19" s="156"/>
      <c r="P19" s="156"/>
      <c r="Q19" s="173">
        <v>0</v>
      </c>
      <c r="R19" s="157"/>
      <c r="S19" s="159"/>
      <c r="T19" s="172">
        <f t="shared" si="8"/>
        <v>211</v>
      </c>
      <c r="U19" s="156">
        <f t="shared" si="0"/>
        <v>390588.16000000003</v>
      </c>
      <c r="V19" s="156">
        <v>33065</v>
      </c>
      <c r="W19" s="156"/>
      <c r="X19" s="156">
        <v>0</v>
      </c>
      <c r="Y19" s="156"/>
      <c r="Z19" s="156"/>
      <c r="AA19" s="156">
        <f t="shared" si="1"/>
        <v>33065</v>
      </c>
      <c r="AB19" s="156"/>
      <c r="AC19" s="160"/>
      <c r="AD19" s="156">
        <v>13380</v>
      </c>
      <c r="AE19" s="156"/>
      <c r="AF19" s="156">
        <v>3586</v>
      </c>
      <c r="AG19" s="156">
        <v>314</v>
      </c>
      <c r="AH19" s="156">
        <v>631</v>
      </c>
      <c r="AI19" s="156"/>
      <c r="AJ19" s="156">
        <v>0</v>
      </c>
      <c r="AK19" s="156">
        <f t="shared" si="2"/>
        <v>17911</v>
      </c>
      <c r="AL19" s="156">
        <v>0</v>
      </c>
      <c r="AM19" s="156">
        <v>0</v>
      </c>
      <c r="AN19" s="156">
        <v>2165</v>
      </c>
      <c r="AO19" s="156">
        <v>155</v>
      </c>
      <c r="AP19" s="156">
        <v>20350</v>
      </c>
      <c r="AQ19" s="156">
        <v>1579</v>
      </c>
      <c r="AR19" s="156">
        <f t="shared" si="3"/>
        <v>24249</v>
      </c>
      <c r="AS19" s="156">
        <v>69277</v>
      </c>
      <c r="AT19" s="156">
        <v>0</v>
      </c>
      <c r="AU19" s="156">
        <v>2256</v>
      </c>
      <c r="AV19" s="156">
        <v>22425</v>
      </c>
      <c r="AW19" s="156"/>
      <c r="AX19" s="156">
        <v>0</v>
      </c>
      <c r="AY19" s="156">
        <v>6129</v>
      </c>
      <c r="AZ19" s="156">
        <v>0</v>
      </c>
      <c r="BA19" s="156">
        <f t="shared" si="4"/>
        <v>100087</v>
      </c>
      <c r="BB19" s="156"/>
      <c r="BC19" s="156"/>
      <c r="BD19" s="156"/>
      <c r="BE19" s="156">
        <f t="shared" si="5"/>
        <v>0</v>
      </c>
      <c r="BF19" s="156">
        <v>0</v>
      </c>
      <c r="BG19" s="156">
        <f t="shared" si="6"/>
        <v>565900.16</v>
      </c>
      <c r="DD19" s="175"/>
      <c r="DE19" s="126" t="s">
        <v>33</v>
      </c>
      <c r="DF19" s="126" t="s">
        <v>33</v>
      </c>
      <c r="DG19" s="126" t="s">
        <v>33</v>
      </c>
      <c r="DH19" s="126" t="s">
        <v>33</v>
      </c>
      <c r="DI19" s="176"/>
      <c r="DJ19" s="126" t="s">
        <v>33</v>
      </c>
      <c r="DK19" s="126" t="s">
        <v>33</v>
      </c>
      <c r="DL19" s="126" t="s">
        <v>33</v>
      </c>
      <c r="DM19" s="126" t="s">
        <v>33</v>
      </c>
      <c r="DN19" s="126" t="s">
        <v>33</v>
      </c>
      <c r="DO19" s="126" t="s">
        <v>33</v>
      </c>
      <c r="DP19" s="126" t="s">
        <v>33</v>
      </c>
      <c r="DQ19" s="126" t="s">
        <v>33</v>
      </c>
      <c r="DR19" s="161"/>
      <c r="DS19" s="126" t="s">
        <v>33</v>
      </c>
      <c r="DT19" s="122">
        <f t="shared" si="7"/>
        <v>0</v>
      </c>
    </row>
    <row r="20" spans="1:124" ht="12">
      <c r="A20" s="128" t="s">
        <v>449</v>
      </c>
      <c r="B20" s="128">
        <v>3512</v>
      </c>
      <c r="C20" s="156"/>
      <c r="D20" s="172">
        <v>25</v>
      </c>
      <c r="E20" s="172">
        <v>40</v>
      </c>
      <c r="F20" s="172">
        <v>52</v>
      </c>
      <c r="G20" s="172">
        <v>56</v>
      </c>
      <c r="H20" s="172">
        <v>45</v>
      </c>
      <c r="I20" s="172">
        <v>57</v>
      </c>
      <c r="J20" s="172">
        <v>54</v>
      </c>
      <c r="K20" s="172">
        <v>55</v>
      </c>
      <c r="L20" s="156"/>
      <c r="M20" s="156"/>
      <c r="N20" s="156"/>
      <c r="O20" s="156"/>
      <c r="P20" s="156"/>
      <c r="Q20" s="173">
        <v>12</v>
      </c>
      <c r="R20" s="157"/>
      <c r="S20" s="159"/>
      <c r="T20" s="172">
        <f t="shared" si="8"/>
        <v>396</v>
      </c>
      <c r="U20" s="156">
        <f t="shared" si="0"/>
        <v>705836.79</v>
      </c>
      <c r="V20" s="156">
        <v>57597</v>
      </c>
      <c r="W20" s="156"/>
      <c r="X20" s="156">
        <v>21333</v>
      </c>
      <c r="Y20" s="156"/>
      <c r="Z20" s="156"/>
      <c r="AA20" s="156">
        <f t="shared" si="1"/>
        <v>78930</v>
      </c>
      <c r="AB20" s="156"/>
      <c r="AC20" s="160"/>
      <c r="AD20" s="156">
        <v>23438</v>
      </c>
      <c r="AE20" s="156"/>
      <c r="AF20" s="156">
        <v>32991</v>
      </c>
      <c r="AG20" s="156">
        <v>2886</v>
      </c>
      <c r="AH20" s="156">
        <v>16686</v>
      </c>
      <c r="AI20" s="156"/>
      <c r="AJ20" s="156">
        <v>20342</v>
      </c>
      <c r="AK20" s="156">
        <f t="shared" si="2"/>
        <v>96343</v>
      </c>
      <c r="AL20" s="156">
        <v>0</v>
      </c>
      <c r="AM20" s="156">
        <v>0</v>
      </c>
      <c r="AN20" s="156">
        <v>2468</v>
      </c>
      <c r="AO20" s="156">
        <v>1075</v>
      </c>
      <c r="AP20" s="156">
        <v>42295</v>
      </c>
      <c r="AQ20" s="156">
        <v>6698</v>
      </c>
      <c r="AR20" s="156">
        <f t="shared" si="3"/>
        <v>52536</v>
      </c>
      <c r="AS20" s="156">
        <v>69277</v>
      </c>
      <c r="AT20" s="156">
        <v>0</v>
      </c>
      <c r="AU20" s="156">
        <v>2400</v>
      </c>
      <c r="AV20" s="156">
        <v>0</v>
      </c>
      <c r="AW20" s="156"/>
      <c r="AX20" s="156">
        <v>0</v>
      </c>
      <c r="AY20" s="156">
        <v>15426</v>
      </c>
      <c r="AZ20" s="156">
        <v>6000</v>
      </c>
      <c r="BA20" s="156">
        <f t="shared" si="4"/>
        <v>93103</v>
      </c>
      <c r="BB20" s="156"/>
      <c r="BC20" s="156"/>
      <c r="BD20" s="156"/>
      <c r="BE20" s="156">
        <f t="shared" si="5"/>
        <v>0</v>
      </c>
      <c r="BF20" s="156">
        <v>0</v>
      </c>
      <c r="BG20" s="156">
        <f t="shared" si="6"/>
        <v>1026748.79</v>
      </c>
      <c r="DD20" s="175"/>
      <c r="DE20" s="126" t="s">
        <v>33</v>
      </c>
      <c r="DF20" s="126" t="s">
        <v>33</v>
      </c>
      <c r="DG20" s="126" t="s">
        <v>33</v>
      </c>
      <c r="DH20" s="126" t="s">
        <v>33</v>
      </c>
      <c r="DI20" s="176"/>
      <c r="DJ20" s="126" t="s">
        <v>33</v>
      </c>
      <c r="DK20" s="126" t="s">
        <v>33</v>
      </c>
      <c r="DL20" s="126" t="s">
        <v>33</v>
      </c>
      <c r="DM20" s="126" t="s">
        <v>33</v>
      </c>
      <c r="DN20" s="126" t="s">
        <v>33</v>
      </c>
      <c r="DO20" s="126" t="s">
        <v>33</v>
      </c>
      <c r="DP20" s="126" t="s">
        <v>33</v>
      </c>
      <c r="DQ20" s="126" t="s">
        <v>33</v>
      </c>
      <c r="DR20" s="161"/>
      <c r="DS20" s="126" t="s">
        <v>33</v>
      </c>
      <c r="DT20" s="122">
        <f t="shared" si="7"/>
        <v>0</v>
      </c>
    </row>
    <row r="21" spans="1:124" ht="12">
      <c r="A21" s="128" t="s">
        <v>450</v>
      </c>
      <c r="B21" s="128">
        <v>2000</v>
      </c>
      <c r="C21" s="156"/>
      <c r="D21" s="172">
        <v>20</v>
      </c>
      <c r="E21" s="172">
        <v>56</v>
      </c>
      <c r="F21" s="172">
        <v>60</v>
      </c>
      <c r="G21" s="172">
        <v>60</v>
      </c>
      <c r="H21" s="172">
        <v>0</v>
      </c>
      <c r="I21" s="172">
        <v>0</v>
      </c>
      <c r="J21" s="172">
        <v>0</v>
      </c>
      <c r="K21" s="172">
        <v>0</v>
      </c>
      <c r="L21" s="156"/>
      <c r="M21" s="156"/>
      <c r="N21" s="156"/>
      <c r="O21" s="156"/>
      <c r="P21" s="156"/>
      <c r="Q21" s="173">
        <v>0</v>
      </c>
      <c r="R21" s="157"/>
      <c r="S21" s="159"/>
      <c r="T21" s="172">
        <f t="shared" si="8"/>
        <v>196</v>
      </c>
      <c r="U21" s="156">
        <f t="shared" si="0"/>
        <v>366468.52</v>
      </c>
      <c r="V21" s="156">
        <v>49064</v>
      </c>
      <c r="W21" s="156"/>
      <c r="X21" s="156">
        <v>4267</v>
      </c>
      <c r="Y21" s="156"/>
      <c r="Z21" s="156"/>
      <c r="AA21" s="156">
        <f t="shared" si="1"/>
        <v>53331</v>
      </c>
      <c r="AB21" s="156"/>
      <c r="AC21" s="160"/>
      <c r="AD21" s="156">
        <v>5734</v>
      </c>
      <c r="AE21" s="156"/>
      <c r="AF21" s="156">
        <v>4326</v>
      </c>
      <c r="AG21" s="156">
        <v>378</v>
      </c>
      <c r="AH21" s="156">
        <v>379</v>
      </c>
      <c r="AI21" s="156"/>
      <c r="AJ21" s="156">
        <v>0</v>
      </c>
      <c r="AK21" s="156">
        <f t="shared" si="2"/>
        <v>10817</v>
      </c>
      <c r="AL21" s="156">
        <v>0</v>
      </c>
      <c r="AM21" s="156">
        <v>0</v>
      </c>
      <c r="AN21" s="156">
        <v>7707</v>
      </c>
      <c r="AO21" s="156">
        <v>727</v>
      </c>
      <c r="AP21" s="156">
        <v>19445</v>
      </c>
      <c r="AQ21" s="156">
        <v>1529</v>
      </c>
      <c r="AR21" s="156">
        <f t="shared" si="3"/>
        <v>29408</v>
      </c>
      <c r="AS21" s="156">
        <v>69277</v>
      </c>
      <c r="AT21" s="156">
        <v>0</v>
      </c>
      <c r="AU21" s="156">
        <v>2736</v>
      </c>
      <c r="AV21" s="156">
        <v>0</v>
      </c>
      <c r="AW21" s="156"/>
      <c r="AX21" s="156">
        <v>0</v>
      </c>
      <c r="AY21" s="156">
        <v>4366</v>
      </c>
      <c r="AZ21" s="156">
        <v>0</v>
      </c>
      <c r="BA21" s="156">
        <f t="shared" si="4"/>
        <v>76379</v>
      </c>
      <c r="BB21" s="156"/>
      <c r="BC21" s="156"/>
      <c r="BD21" s="156"/>
      <c r="BE21" s="156">
        <f t="shared" si="5"/>
        <v>0</v>
      </c>
      <c r="BF21" s="156">
        <v>0</v>
      </c>
      <c r="BG21" s="156">
        <f t="shared" si="6"/>
        <v>536403.52</v>
      </c>
      <c r="DD21" s="175"/>
      <c r="DE21" s="126" t="s">
        <v>33</v>
      </c>
      <c r="DF21" s="126" t="s">
        <v>33</v>
      </c>
      <c r="DG21" s="126" t="s">
        <v>33</v>
      </c>
      <c r="DH21" s="126" t="s">
        <v>33</v>
      </c>
      <c r="DI21" s="176"/>
      <c r="DJ21" s="126" t="s">
        <v>33</v>
      </c>
      <c r="DK21" s="126" t="s">
        <v>33</v>
      </c>
      <c r="DL21" s="126" t="s">
        <v>33</v>
      </c>
      <c r="DM21" s="126" t="s">
        <v>33</v>
      </c>
      <c r="DN21" s="126" t="s">
        <v>33</v>
      </c>
      <c r="DO21" s="126" t="s">
        <v>33</v>
      </c>
      <c r="DP21" s="126" t="s">
        <v>33</v>
      </c>
      <c r="DQ21" s="126" t="s">
        <v>33</v>
      </c>
      <c r="DR21" s="161"/>
      <c r="DS21" s="126" t="s">
        <v>33</v>
      </c>
      <c r="DT21" s="122">
        <f t="shared" si="7"/>
        <v>0</v>
      </c>
    </row>
    <row r="22" spans="1:124" ht="12">
      <c r="A22" s="128" t="s">
        <v>451</v>
      </c>
      <c r="B22" s="128">
        <v>2094</v>
      </c>
      <c r="C22" s="156"/>
      <c r="D22" s="172">
        <v>15</v>
      </c>
      <c r="E22" s="172">
        <v>45</v>
      </c>
      <c r="F22" s="172">
        <v>50</v>
      </c>
      <c r="G22" s="172">
        <v>30</v>
      </c>
      <c r="H22" s="172">
        <v>51</v>
      </c>
      <c r="I22" s="172">
        <v>49</v>
      </c>
      <c r="J22" s="172">
        <v>57</v>
      </c>
      <c r="K22" s="172">
        <v>55</v>
      </c>
      <c r="L22" s="156"/>
      <c r="M22" s="156"/>
      <c r="N22" s="156"/>
      <c r="O22" s="156"/>
      <c r="P22" s="156"/>
      <c r="Q22" s="173">
        <v>0</v>
      </c>
      <c r="R22" s="157"/>
      <c r="S22" s="159"/>
      <c r="T22" s="172">
        <f t="shared" si="8"/>
        <v>352</v>
      </c>
      <c r="U22" s="156">
        <f t="shared" si="0"/>
        <v>662939.78</v>
      </c>
      <c r="V22" s="156">
        <v>33065</v>
      </c>
      <c r="W22" s="156"/>
      <c r="X22" s="156">
        <v>17066</v>
      </c>
      <c r="Y22" s="156"/>
      <c r="Z22" s="156"/>
      <c r="AA22" s="156">
        <f t="shared" si="1"/>
        <v>50131</v>
      </c>
      <c r="AB22" s="156"/>
      <c r="AC22" s="160"/>
      <c r="AD22" s="156">
        <v>13380</v>
      </c>
      <c r="AE22" s="156"/>
      <c r="AF22" s="156">
        <v>38463</v>
      </c>
      <c r="AG22" s="156">
        <v>3364</v>
      </c>
      <c r="AH22" s="156">
        <v>16306</v>
      </c>
      <c r="AI22" s="156"/>
      <c r="AJ22" s="156">
        <v>0</v>
      </c>
      <c r="AK22" s="156">
        <f t="shared" si="2"/>
        <v>71513</v>
      </c>
      <c r="AL22" s="156">
        <v>0</v>
      </c>
      <c r="AM22" s="156">
        <v>0</v>
      </c>
      <c r="AN22" s="156">
        <v>13380</v>
      </c>
      <c r="AO22" s="156">
        <v>1918</v>
      </c>
      <c r="AP22" s="156">
        <v>40999</v>
      </c>
      <c r="AQ22" s="156">
        <v>7342</v>
      </c>
      <c r="AR22" s="156">
        <f t="shared" si="3"/>
        <v>63639</v>
      </c>
      <c r="AS22" s="156">
        <v>69277</v>
      </c>
      <c r="AT22" s="156">
        <v>0</v>
      </c>
      <c r="AU22" s="156">
        <v>1152</v>
      </c>
      <c r="AV22" s="156">
        <v>0</v>
      </c>
      <c r="AW22" s="156"/>
      <c r="AX22" s="156">
        <v>0</v>
      </c>
      <c r="AY22" s="156">
        <v>10806</v>
      </c>
      <c r="AZ22" s="156">
        <v>6000</v>
      </c>
      <c r="BA22" s="156">
        <f t="shared" si="4"/>
        <v>87235</v>
      </c>
      <c r="BB22" s="156"/>
      <c r="BC22" s="156"/>
      <c r="BD22" s="156"/>
      <c r="BE22" s="156">
        <f t="shared" si="5"/>
        <v>0</v>
      </c>
      <c r="BF22" s="156">
        <v>0</v>
      </c>
      <c r="BG22" s="156">
        <f t="shared" si="6"/>
        <v>935457.78</v>
      </c>
      <c r="DD22" s="175"/>
      <c r="DE22" s="126" t="s">
        <v>33</v>
      </c>
      <c r="DF22" s="126" t="s">
        <v>33</v>
      </c>
      <c r="DG22" s="126" t="s">
        <v>33</v>
      </c>
      <c r="DH22" s="126" t="s">
        <v>33</v>
      </c>
      <c r="DI22" s="176"/>
      <c r="DJ22" s="126" t="s">
        <v>33</v>
      </c>
      <c r="DK22" s="126" t="s">
        <v>33</v>
      </c>
      <c r="DL22" s="126" t="s">
        <v>33</v>
      </c>
      <c r="DM22" s="126" t="s">
        <v>33</v>
      </c>
      <c r="DN22" s="126" t="s">
        <v>33</v>
      </c>
      <c r="DO22" s="126" t="s">
        <v>33</v>
      </c>
      <c r="DP22" s="126" t="s">
        <v>33</v>
      </c>
      <c r="DQ22" s="126" t="s">
        <v>33</v>
      </c>
      <c r="DR22" s="161"/>
      <c r="DS22" s="126" t="s">
        <v>33</v>
      </c>
      <c r="DT22" s="122">
        <f t="shared" si="7"/>
        <v>0</v>
      </c>
    </row>
    <row r="23" spans="1:124" ht="12">
      <c r="A23" s="128" t="s">
        <v>452</v>
      </c>
      <c r="B23" s="128">
        <v>2001</v>
      </c>
      <c r="C23" s="156"/>
      <c r="D23" s="172">
        <v>30</v>
      </c>
      <c r="E23" s="172">
        <v>60</v>
      </c>
      <c r="F23" s="172">
        <v>59</v>
      </c>
      <c r="G23" s="172">
        <v>59</v>
      </c>
      <c r="H23" s="172">
        <v>0</v>
      </c>
      <c r="I23" s="172">
        <v>0</v>
      </c>
      <c r="J23" s="172">
        <v>0</v>
      </c>
      <c r="K23" s="172">
        <v>0</v>
      </c>
      <c r="L23" s="156"/>
      <c r="M23" s="156"/>
      <c r="N23" s="156"/>
      <c r="O23" s="156"/>
      <c r="P23" s="156"/>
      <c r="Q23" s="173">
        <v>0</v>
      </c>
      <c r="R23" s="157"/>
      <c r="S23" s="159"/>
      <c r="T23" s="172">
        <f t="shared" si="8"/>
        <v>208</v>
      </c>
      <c r="U23" s="156">
        <f t="shared" si="0"/>
        <v>377187.9</v>
      </c>
      <c r="V23" s="156">
        <v>66129</v>
      </c>
      <c r="W23" s="156"/>
      <c r="X23" s="156">
        <v>0</v>
      </c>
      <c r="Y23" s="156"/>
      <c r="Z23" s="156"/>
      <c r="AA23" s="156">
        <f t="shared" si="1"/>
        <v>66129</v>
      </c>
      <c r="AB23" s="156"/>
      <c r="AC23" s="160"/>
      <c r="AD23" s="156">
        <v>7646</v>
      </c>
      <c r="AE23" s="156"/>
      <c r="AF23" s="156">
        <v>7115</v>
      </c>
      <c r="AG23" s="156">
        <v>623</v>
      </c>
      <c r="AH23" s="156">
        <v>758</v>
      </c>
      <c r="AI23" s="156"/>
      <c r="AJ23" s="156">
        <v>0</v>
      </c>
      <c r="AK23" s="156">
        <f t="shared" si="2"/>
        <v>16142</v>
      </c>
      <c r="AL23" s="156">
        <v>0</v>
      </c>
      <c r="AM23" s="156">
        <v>0</v>
      </c>
      <c r="AN23" s="156">
        <v>8790</v>
      </c>
      <c r="AO23" s="156">
        <v>674</v>
      </c>
      <c r="AP23" s="156">
        <v>23566</v>
      </c>
      <c r="AQ23" s="156">
        <v>3176</v>
      </c>
      <c r="AR23" s="156">
        <f t="shared" si="3"/>
        <v>36206</v>
      </c>
      <c r="AS23" s="156">
        <v>69277</v>
      </c>
      <c r="AT23" s="156">
        <v>0</v>
      </c>
      <c r="AU23" s="156">
        <v>2112</v>
      </c>
      <c r="AV23" s="156">
        <v>0</v>
      </c>
      <c r="AW23" s="156"/>
      <c r="AX23" s="156">
        <v>0</v>
      </c>
      <c r="AY23" s="156">
        <v>6763</v>
      </c>
      <c r="AZ23" s="156">
        <v>0</v>
      </c>
      <c r="BA23" s="156">
        <f t="shared" si="4"/>
        <v>78152</v>
      </c>
      <c r="BB23" s="156"/>
      <c r="BC23" s="156"/>
      <c r="BD23" s="156"/>
      <c r="BE23" s="156">
        <f t="shared" si="5"/>
        <v>0</v>
      </c>
      <c r="BF23" s="156">
        <v>0</v>
      </c>
      <c r="BG23" s="156">
        <f t="shared" si="6"/>
        <v>573816.9</v>
      </c>
      <c r="DD23" s="175"/>
      <c r="DE23" s="126" t="s">
        <v>33</v>
      </c>
      <c r="DF23" s="126" t="s">
        <v>33</v>
      </c>
      <c r="DG23" s="126" t="s">
        <v>33</v>
      </c>
      <c r="DH23" s="126" t="s">
        <v>33</v>
      </c>
      <c r="DI23" s="176"/>
      <c r="DJ23" s="126" t="s">
        <v>33</v>
      </c>
      <c r="DK23" s="126" t="s">
        <v>33</v>
      </c>
      <c r="DL23" s="126" t="s">
        <v>33</v>
      </c>
      <c r="DM23" s="126" t="s">
        <v>33</v>
      </c>
      <c r="DN23" s="126" t="s">
        <v>33</v>
      </c>
      <c r="DO23" s="126" t="s">
        <v>33</v>
      </c>
      <c r="DP23" s="126" t="s">
        <v>33</v>
      </c>
      <c r="DQ23" s="126" t="s">
        <v>33</v>
      </c>
      <c r="DR23" s="161"/>
      <c r="DS23" s="126" t="s">
        <v>33</v>
      </c>
      <c r="DT23" s="122">
        <f t="shared" si="7"/>
        <v>0</v>
      </c>
    </row>
    <row r="24" spans="1:124" ht="12">
      <c r="A24" s="128" t="s">
        <v>453</v>
      </c>
      <c r="B24" s="128">
        <v>2060</v>
      </c>
      <c r="C24" s="156"/>
      <c r="D24" s="172">
        <v>40</v>
      </c>
      <c r="E24" s="172">
        <v>113</v>
      </c>
      <c r="F24" s="172">
        <v>120</v>
      </c>
      <c r="G24" s="172">
        <v>112</v>
      </c>
      <c r="H24" s="172">
        <v>0</v>
      </c>
      <c r="I24" s="172">
        <v>0</v>
      </c>
      <c r="J24" s="172">
        <v>0</v>
      </c>
      <c r="K24" s="172">
        <v>0</v>
      </c>
      <c r="L24" s="156"/>
      <c r="M24" s="156"/>
      <c r="N24" s="156"/>
      <c r="O24" s="156"/>
      <c r="P24" s="156"/>
      <c r="Q24" s="173">
        <v>0</v>
      </c>
      <c r="R24" s="157"/>
      <c r="S24" s="159"/>
      <c r="T24" s="172">
        <f t="shared" si="8"/>
        <v>385</v>
      </c>
      <c r="U24" s="156">
        <f t="shared" si="0"/>
        <v>720414.76</v>
      </c>
      <c r="V24" s="156">
        <v>98128</v>
      </c>
      <c r="W24" s="156"/>
      <c r="X24" s="156">
        <v>7467</v>
      </c>
      <c r="Y24" s="156"/>
      <c r="Z24" s="156"/>
      <c r="AA24" s="156">
        <f t="shared" si="1"/>
        <v>105595</v>
      </c>
      <c r="AB24" s="156"/>
      <c r="AC24" s="160"/>
      <c r="AD24" s="156">
        <v>19114</v>
      </c>
      <c r="AE24" s="156"/>
      <c r="AF24" s="156">
        <v>18256</v>
      </c>
      <c r="AG24" s="156">
        <v>1596</v>
      </c>
      <c r="AH24" s="156">
        <v>6448</v>
      </c>
      <c r="AI24" s="156"/>
      <c r="AJ24" s="156">
        <v>0</v>
      </c>
      <c r="AK24" s="156">
        <f t="shared" si="2"/>
        <v>45414</v>
      </c>
      <c r="AL24" s="156">
        <v>0</v>
      </c>
      <c r="AM24" s="156">
        <v>0</v>
      </c>
      <c r="AN24" s="156">
        <v>14592</v>
      </c>
      <c r="AO24" s="156">
        <v>966</v>
      </c>
      <c r="AP24" s="156">
        <v>28428</v>
      </c>
      <c r="AQ24" s="156">
        <v>1946</v>
      </c>
      <c r="AR24" s="156">
        <f t="shared" si="3"/>
        <v>45932</v>
      </c>
      <c r="AS24" s="156">
        <v>69277</v>
      </c>
      <c r="AT24" s="156">
        <v>0</v>
      </c>
      <c r="AU24" s="156">
        <v>3248</v>
      </c>
      <c r="AV24" s="156">
        <v>0</v>
      </c>
      <c r="AW24" s="156"/>
      <c r="AX24" s="156">
        <v>0</v>
      </c>
      <c r="AY24" s="156">
        <v>12948</v>
      </c>
      <c r="AZ24" s="156">
        <v>0</v>
      </c>
      <c r="BA24" s="156">
        <f t="shared" si="4"/>
        <v>85473</v>
      </c>
      <c r="BB24" s="156"/>
      <c r="BC24" s="156"/>
      <c r="BD24" s="156"/>
      <c r="BE24" s="156">
        <f t="shared" si="5"/>
        <v>0</v>
      </c>
      <c r="BF24" s="156">
        <v>2155</v>
      </c>
      <c r="BG24" s="156">
        <f t="shared" si="6"/>
        <v>1004983.76</v>
      </c>
      <c r="DD24" s="175"/>
      <c r="DE24" s="126" t="s">
        <v>33</v>
      </c>
      <c r="DF24" s="126" t="s">
        <v>33</v>
      </c>
      <c r="DG24" s="126" t="s">
        <v>33</v>
      </c>
      <c r="DH24" s="126" t="s">
        <v>33</v>
      </c>
      <c r="DI24" s="176"/>
      <c r="DJ24" s="126" t="s">
        <v>33</v>
      </c>
      <c r="DK24" s="126" t="s">
        <v>33</v>
      </c>
      <c r="DL24" s="126" t="s">
        <v>33</v>
      </c>
      <c r="DM24" s="126" t="s">
        <v>33</v>
      </c>
      <c r="DN24" s="126" t="s">
        <v>33</v>
      </c>
      <c r="DO24" s="126" t="s">
        <v>33</v>
      </c>
      <c r="DP24" s="126" t="s">
        <v>33</v>
      </c>
      <c r="DQ24" s="126" t="s">
        <v>33</v>
      </c>
      <c r="DR24" s="161"/>
      <c r="DS24" s="126" t="s">
        <v>33</v>
      </c>
      <c r="DT24" s="122">
        <f t="shared" si="7"/>
        <v>0</v>
      </c>
    </row>
    <row r="25" spans="1:124" ht="12">
      <c r="A25" s="128" t="s">
        <v>454</v>
      </c>
      <c r="B25" s="128">
        <v>2059</v>
      </c>
      <c r="C25" s="156"/>
      <c r="D25" s="172">
        <v>0</v>
      </c>
      <c r="E25" s="172">
        <v>0</v>
      </c>
      <c r="F25" s="172">
        <v>0</v>
      </c>
      <c r="G25" s="172">
        <v>0</v>
      </c>
      <c r="H25" s="172">
        <v>112</v>
      </c>
      <c r="I25" s="172">
        <v>115</v>
      </c>
      <c r="J25" s="172">
        <v>121</v>
      </c>
      <c r="K25" s="172">
        <v>118</v>
      </c>
      <c r="L25" s="156"/>
      <c r="M25" s="156"/>
      <c r="N25" s="156"/>
      <c r="O25" s="156"/>
      <c r="P25" s="156"/>
      <c r="Q25" s="173">
        <v>0</v>
      </c>
      <c r="R25" s="157"/>
      <c r="S25" s="159"/>
      <c r="T25" s="172">
        <f t="shared" si="8"/>
        <v>466</v>
      </c>
      <c r="U25" s="156">
        <f t="shared" si="0"/>
        <v>878318.14</v>
      </c>
      <c r="V25" s="156">
        <v>0</v>
      </c>
      <c r="W25" s="156"/>
      <c r="X25" s="156">
        <v>0</v>
      </c>
      <c r="Y25" s="156"/>
      <c r="Z25" s="156"/>
      <c r="AA25" s="156">
        <f t="shared" si="1"/>
        <v>0</v>
      </c>
      <c r="AB25" s="156"/>
      <c r="AC25" s="160"/>
      <c r="AD25" s="156">
        <v>49888</v>
      </c>
      <c r="AE25" s="156"/>
      <c r="AF25" s="156">
        <v>15947</v>
      </c>
      <c r="AG25" s="156">
        <v>1395</v>
      </c>
      <c r="AH25" s="156">
        <v>8090</v>
      </c>
      <c r="AI25" s="156"/>
      <c r="AJ25" s="156">
        <v>0</v>
      </c>
      <c r="AK25" s="156">
        <f t="shared" si="2"/>
        <v>75320</v>
      </c>
      <c r="AL25" s="156">
        <v>0</v>
      </c>
      <c r="AM25" s="156">
        <v>0</v>
      </c>
      <c r="AN25" s="156">
        <v>18186</v>
      </c>
      <c r="AO25" s="156">
        <v>1806</v>
      </c>
      <c r="AP25" s="156">
        <v>44332</v>
      </c>
      <c r="AQ25" s="156">
        <v>5237</v>
      </c>
      <c r="AR25" s="156">
        <f t="shared" si="3"/>
        <v>69561</v>
      </c>
      <c r="AS25" s="156">
        <v>68642</v>
      </c>
      <c r="AT25" s="156">
        <v>0</v>
      </c>
      <c r="AU25" s="156">
        <v>4192</v>
      </c>
      <c r="AV25" s="156">
        <v>0</v>
      </c>
      <c r="AW25" s="156"/>
      <c r="AX25" s="156">
        <v>0</v>
      </c>
      <c r="AY25" s="156">
        <v>13992</v>
      </c>
      <c r="AZ25" s="156">
        <v>0</v>
      </c>
      <c r="BA25" s="156">
        <f t="shared" si="4"/>
        <v>86826</v>
      </c>
      <c r="BB25" s="156"/>
      <c r="BC25" s="156"/>
      <c r="BD25" s="156"/>
      <c r="BE25" s="156">
        <f t="shared" si="5"/>
        <v>0</v>
      </c>
      <c r="BF25" s="156">
        <v>0</v>
      </c>
      <c r="BG25" s="156">
        <f t="shared" si="6"/>
        <v>1110025.1400000001</v>
      </c>
      <c r="DD25" s="175"/>
      <c r="DE25" s="126" t="s">
        <v>33</v>
      </c>
      <c r="DF25" s="126" t="s">
        <v>33</v>
      </c>
      <c r="DG25" s="126" t="s">
        <v>33</v>
      </c>
      <c r="DH25" s="126" t="s">
        <v>33</v>
      </c>
      <c r="DI25" s="176"/>
      <c r="DJ25" s="126" t="s">
        <v>33</v>
      </c>
      <c r="DK25" s="126" t="s">
        <v>33</v>
      </c>
      <c r="DL25" s="126" t="s">
        <v>33</v>
      </c>
      <c r="DM25" s="126" t="s">
        <v>33</v>
      </c>
      <c r="DN25" s="126" t="s">
        <v>33</v>
      </c>
      <c r="DO25" s="126" t="s">
        <v>33</v>
      </c>
      <c r="DP25" s="126" t="s">
        <v>33</v>
      </c>
      <c r="DQ25" s="126" t="s">
        <v>33</v>
      </c>
      <c r="DR25" s="161"/>
      <c r="DS25" s="126" t="s">
        <v>33</v>
      </c>
      <c r="DT25" s="122">
        <f t="shared" si="7"/>
        <v>0</v>
      </c>
    </row>
    <row r="26" spans="1:124" ht="12">
      <c r="A26" s="128" t="s">
        <v>455</v>
      </c>
      <c r="B26" s="128">
        <v>2087</v>
      </c>
      <c r="C26" s="156"/>
      <c r="D26" s="172">
        <v>0</v>
      </c>
      <c r="E26" s="172">
        <v>0</v>
      </c>
      <c r="F26" s="172">
        <v>0</v>
      </c>
      <c r="G26" s="172">
        <v>0</v>
      </c>
      <c r="H26" s="172">
        <v>72</v>
      </c>
      <c r="I26" s="172">
        <v>54</v>
      </c>
      <c r="J26" s="172">
        <v>68</v>
      </c>
      <c r="K26" s="172">
        <v>64</v>
      </c>
      <c r="L26" s="156"/>
      <c r="M26" s="156"/>
      <c r="N26" s="156"/>
      <c r="O26" s="156"/>
      <c r="P26" s="156"/>
      <c r="Q26" s="173">
        <v>0</v>
      </c>
      <c r="R26" s="157"/>
      <c r="S26" s="159"/>
      <c r="T26" s="172">
        <f t="shared" si="8"/>
        <v>258</v>
      </c>
      <c r="U26" s="156">
        <f t="shared" si="0"/>
        <v>487003.02</v>
      </c>
      <c r="V26" s="156">
        <v>0</v>
      </c>
      <c r="W26" s="156"/>
      <c r="X26" s="156">
        <v>0</v>
      </c>
      <c r="Y26" s="156"/>
      <c r="Z26" s="156"/>
      <c r="AA26" s="156">
        <f t="shared" si="1"/>
        <v>0</v>
      </c>
      <c r="AB26" s="156"/>
      <c r="AC26" s="160"/>
      <c r="AD26" s="156">
        <v>20070</v>
      </c>
      <c r="AE26" s="156"/>
      <c r="AF26" s="156">
        <v>8213</v>
      </c>
      <c r="AG26" s="156">
        <v>718</v>
      </c>
      <c r="AH26" s="156">
        <v>5056</v>
      </c>
      <c r="AI26" s="156"/>
      <c r="AJ26" s="156">
        <v>0</v>
      </c>
      <c r="AK26" s="156">
        <f t="shared" si="2"/>
        <v>34057</v>
      </c>
      <c r="AL26" s="156">
        <v>0</v>
      </c>
      <c r="AM26" s="156">
        <v>0</v>
      </c>
      <c r="AN26" s="156">
        <v>10392</v>
      </c>
      <c r="AO26" s="156">
        <v>1004</v>
      </c>
      <c r="AP26" s="156">
        <v>26530</v>
      </c>
      <c r="AQ26" s="156">
        <v>5332</v>
      </c>
      <c r="AR26" s="156">
        <f t="shared" si="3"/>
        <v>43258</v>
      </c>
      <c r="AS26" s="156">
        <v>68642</v>
      </c>
      <c r="AT26" s="156">
        <v>0</v>
      </c>
      <c r="AU26" s="156">
        <v>2464</v>
      </c>
      <c r="AV26" s="156">
        <v>0</v>
      </c>
      <c r="AW26" s="156"/>
      <c r="AX26" s="156">
        <v>0</v>
      </c>
      <c r="AY26" s="156">
        <v>9036</v>
      </c>
      <c r="AZ26" s="156">
        <v>0</v>
      </c>
      <c r="BA26" s="156">
        <f t="shared" si="4"/>
        <v>80142</v>
      </c>
      <c r="BB26" s="156"/>
      <c r="BC26" s="156"/>
      <c r="BD26" s="156"/>
      <c r="BE26" s="156">
        <f t="shared" si="5"/>
        <v>0</v>
      </c>
      <c r="BF26" s="156">
        <v>9402</v>
      </c>
      <c r="BG26" s="156">
        <f t="shared" si="6"/>
        <v>653862.02</v>
      </c>
      <c r="DD26" s="175"/>
      <c r="DE26" s="126" t="s">
        <v>33</v>
      </c>
      <c r="DF26" s="126" t="s">
        <v>33</v>
      </c>
      <c r="DG26" s="126" t="s">
        <v>33</v>
      </c>
      <c r="DH26" s="126" t="s">
        <v>33</v>
      </c>
      <c r="DI26" s="176"/>
      <c r="DJ26" s="126" t="s">
        <v>33</v>
      </c>
      <c r="DK26" s="126" t="s">
        <v>33</v>
      </c>
      <c r="DL26" s="126" t="s">
        <v>33</v>
      </c>
      <c r="DM26" s="126" t="s">
        <v>33</v>
      </c>
      <c r="DN26" s="126" t="s">
        <v>33</v>
      </c>
      <c r="DO26" s="126" t="s">
        <v>33</v>
      </c>
      <c r="DP26" s="126" t="s">
        <v>33</v>
      </c>
      <c r="DQ26" s="126" t="s">
        <v>33</v>
      </c>
      <c r="DR26" s="161"/>
      <c r="DS26" s="126" t="s">
        <v>33</v>
      </c>
      <c r="DT26" s="122">
        <f t="shared" si="7"/>
        <v>0</v>
      </c>
    </row>
    <row r="27" spans="1:124" ht="12">
      <c r="A27" s="128" t="s">
        <v>456</v>
      </c>
      <c r="B27" s="128">
        <v>2082</v>
      </c>
      <c r="C27" s="156"/>
      <c r="D27" s="172">
        <v>10</v>
      </c>
      <c r="E27" s="172">
        <v>21</v>
      </c>
      <c r="F27" s="172">
        <v>23</v>
      </c>
      <c r="G27" s="172">
        <v>28</v>
      </c>
      <c r="H27" s="172">
        <v>26</v>
      </c>
      <c r="I27" s="172">
        <v>30</v>
      </c>
      <c r="J27" s="172">
        <v>25</v>
      </c>
      <c r="K27" s="172">
        <v>28</v>
      </c>
      <c r="L27" s="156"/>
      <c r="M27" s="156"/>
      <c r="N27" s="156"/>
      <c r="O27" s="156"/>
      <c r="P27" s="156"/>
      <c r="Q27" s="173">
        <v>0</v>
      </c>
      <c r="R27" s="157"/>
      <c r="S27" s="159"/>
      <c r="T27" s="172">
        <f t="shared" si="8"/>
        <v>191</v>
      </c>
      <c r="U27" s="156">
        <f t="shared" si="0"/>
        <v>355263.43</v>
      </c>
      <c r="V27" s="156">
        <v>24533</v>
      </c>
      <c r="W27" s="156"/>
      <c r="X27" s="156">
        <v>12800</v>
      </c>
      <c r="Y27" s="156"/>
      <c r="Z27" s="156"/>
      <c r="AA27" s="156">
        <f t="shared" si="1"/>
        <v>37333</v>
      </c>
      <c r="AB27" s="156"/>
      <c r="AC27" s="160"/>
      <c r="AD27" s="156">
        <v>9557</v>
      </c>
      <c r="AE27" s="156"/>
      <c r="AF27" s="156">
        <v>7074</v>
      </c>
      <c r="AG27" s="156">
        <v>619</v>
      </c>
      <c r="AH27" s="156">
        <v>885</v>
      </c>
      <c r="AI27" s="156"/>
      <c r="AJ27" s="156">
        <v>0</v>
      </c>
      <c r="AK27" s="156">
        <f t="shared" si="2"/>
        <v>18135</v>
      </c>
      <c r="AL27" s="156">
        <v>0</v>
      </c>
      <c r="AM27" s="156">
        <v>0</v>
      </c>
      <c r="AN27" s="156">
        <v>8227</v>
      </c>
      <c r="AO27" s="156">
        <v>780</v>
      </c>
      <c r="AP27" s="156">
        <v>26530</v>
      </c>
      <c r="AQ27" s="156">
        <v>3475</v>
      </c>
      <c r="AR27" s="156">
        <f t="shared" si="3"/>
        <v>39012</v>
      </c>
      <c r="AS27" s="156">
        <v>69277</v>
      </c>
      <c r="AT27" s="156">
        <v>0</v>
      </c>
      <c r="AU27" s="156">
        <v>2976</v>
      </c>
      <c r="AV27" s="156">
        <v>27048</v>
      </c>
      <c r="AW27" s="156"/>
      <c r="AX27" s="156">
        <v>0</v>
      </c>
      <c r="AY27" s="156">
        <v>7781</v>
      </c>
      <c r="AZ27" s="156">
        <v>0</v>
      </c>
      <c r="BA27" s="156">
        <f t="shared" si="4"/>
        <v>107082</v>
      </c>
      <c r="BB27" s="156"/>
      <c r="BC27" s="156"/>
      <c r="BD27" s="156"/>
      <c r="BE27" s="156">
        <f t="shared" si="5"/>
        <v>0</v>
      </c>
      <c r="BF27" s="156">
        <v>0</v>
      </c>
      <c r="BG27" s="156">
        <f t="shared" si="6"/>
        <v>556825.4299999999</v>
      </c>
      <c r="DD27" s="175"/>
      <c r="DE27" s="126" t="s">
        <v>33</v>
      </c>
      <c r="DF27" s="126" t="s">
        <v>33</v>
      </c>
      <c r="DG27" s="126" t="s">
        <v>33</v>
      </c>
      <c r="DH27" s="126" t="s">
        <v>33</v>
      </c>
      <c r="DI27" s="176"/>
      <c r="DJ27" s="126" t="s">
        <v>33</v>
      </c>
      <c r="DK27" s="126" t="s">
        <v>33</v>
      </c>
      <c r="DL27" s="126" t="s">
        <v>33</v>
      </c>
      <c r="DM27" s="126" t="s">
        <v>33</v>
      </c>
      <c r="DN27" s="126" t="s">
        <v>33</v>
      </c>
      <c r="DO27" s="126" t="s">
        <v>33</v>
      </c>
      <c r="DP27" s="126" t="s">
        <v>33</v>
      </c>
      <c r="DQ27" s="126" t="s">
        <v>33</v>
      </c>
      <c r="DR27" s="161"/>
      <c r="DS27" s="126" t="s">
        <v>33</v>
      </c>
      <c r="DT27" s="122">
        <f t="shared" si="7"/>
        <v>0</v>
      </c>
    </row>
    <row r="28" spans="1:124" ht="12">
      <c r="A28" s="128" t="s">
        <v>457</v>
      </c>
      <c r="B28" s="128">
        <v>2065</v>
      </c>
      <c r="C28" s="156"/>
      <c r="D28" s="172">
        <v>25</v>
      </c>
      <c r="E28" s="172">
        <v>47</v>
      </c>
      <c r="F28" s="172">
        <v>43</v>
      </c>
      <c r="G28" s="172">
        <v>52</v>
      </c>
      <c r="H28" s="172">
        <v>46</v>
      </c>
      <c r="I28" s="172">
        <v>53</v>
      </c>
      <c r="J28" s="172">
        <v>51</v>
      </c>
      <c r="K28" s="172">
        <v>55</v>
      </c>
      <c r="L28" s="156"/>
      <c r="M28" s="156"/>
      <c r="N28" s="156"/>
      <c r="O28" s="156"/>
      <c r="P28" s="156"/>
      <c r="Q28" s="173">
        <v>0</v>
      </c>
      <c r="R28" s="157"/>
      <c r="S28" s="159"/>
      <c r="T28" s="172">
        <f t="shared" si="8"/>
        <v>372</v>
      </c>
      <c r="U28" s="156">
        <f t="shared" si="0"/>
        <v>687132.1399999999</v>
      </c>
      <c r="V28" s="156">
        <v>57597</v>
      </c>
      <c r="W28" s="156"/>
      <c r="X28" s="156">
        <v>27734</v>
      </c>
      <c r="Y28" s="156"/>
      <c r="Z28" s="156"/>
      <c r="AA28" s="156">
        <f t="shared" si="1"/>
        <v>85331</v>
      </c>
      <c r="AB28" s="156"/>
      <c r="AC28" s="160"/>
      <c r="AD28" s="156">
        <v>43007</v>
      </c>
      <c r="AE28" s="156"/>
      <c r="AF28" s="156">
        <v>35642</v>
      </c>
      <c r="AG28" s="156">
        <v>3117</v>
      </c>
      <c r="AH28" s="156">
        <v>16054</v>
      </c>
      <c r="AI28" s="156"/>
      <c r="AJ28" s="156">
        <v>0</v>
      </c>
      <c r="AK28" s="156">
        <f t="shared" si="2"/>
        <v>97820</v>
      </c>
      <c r="AL28" s="156">
        <v>0</v>
      </c>
      <c r="AM28" s="156">
        <v>0</v>
      </c>
      <c r="AN28" s="156">
        <v>13856</v>
      </c>
      <c r="AO28" s="156">
        <v>1460</v>
      </c>
      <c r="AP28" s="156">
        <v>52434</v>
      </c>
      <c r="AQ28" s="156">
        <v>5061</v>
      </c>
      <c r="AR28" s="156">
        <f t="shared" si="3"/>
        <v>72811</v>
      </c>
      <c r="AS28" s="156">
        <v>69277</v>
      </c>
      <c r="AT28" s="156">
        <v>0</v>
      </c>
      <c r="AU28" s="156">
        <v>1424</v>
      </c>
      <c r="AV28" s="156">
        <v>0</v>
      </c>
      <c r="AW28" s="156"/>
      <c r="AX28" s="156">
        <v>0</v>
      </c>
      <c r="AY28" s="156">
        <v>10511</v>
      </c>
      <c r="AZ28" s="156">
        <v>6000</v>
      </c>
      <c r="BA28" s="156">
        <f t="shared" si="4"/>
        <v>87212</v>
      </c>
      <c r="BB28" s="156"/>
      <c r="BC28" s="156"/>
      <c r="BD28" s="156"/>
      <c r="BE28" s="156">
        <f t="shared" si="5"/>
        <v>0</v>
      </c>
      <c r="BF28" s="156">
        <v>0</v>
      </c>
      <c r="BG28" s="156">
        <f t="shared" si="6"/>
        <v>1030306.1399999999</v>
      </c>
      <c r="DD28" s="175"/>
      <c r="DE28" s="126" t="s">
        <v>33</v>
      </c>
      <c r="DF28" s="126" t="s">
        <v>33</v>
      </c>
      <c r="DG28" s="126" t="s">
        <v>33</v>
      </c>
      <c r="DH28" s="126" t="s">
        <v>33</v>
      </c>
      <c r="DI28" s="176"/>
      <c r="DJ28" s="126" t="s">
        <v>33</v>
      </c>
      <c r="DK28" s="126" t="s">
        <v>33</v>
      </c>
      <c r="DL28" s="126" t="s">
        <v>33</v>
      </c>
      <c r="DM28" s="126" t="s">
        <v>33</v>
      </c>
      <c r="DN28" s="126" t="s">
        <v>33</v>
      </c>
      <c r="DO28" s="126" t="s">
        <v>33</v>
      </c>
      <c r="DP28" s="126" t="s">
        <v>33</v>
      </c>
      <c r="DQ28" s="126" t="s">
        <v>33</v>
      </c>
      <c r="DR28" s="161"/>
      <c r="DS28" s="126" t="s">
        <v>33</v>
      </c>
      <c r="DT28" s="122">
        <f t="shared" si="7"/>
        <v>0</v>
      </c>
    </row>
    <row r="29" spans="1:124" ht="12">
      <c r="A29" s="128" t="s">
        <v>458</v>
      </c>
      <c r="B29" s="128">
        <v>2004</v>
      </c>
      <c r="C29" s="156"/>
      <c r="D29" s="172">
        <v>0</v>
      </c>
      <c r="E29" s="172">
        <v>0</v>
      </c>
      <c r="F29" s="172">
        <v>0</v>
      </c>
      <c r="G29" s="172">
        <v>0</v>
      </c>
      <c r="H29" s="172">
        <v>66</v>
      </c>
      <c r="I29" s="172">
        <v>70</v>
      </c>
      <c r="J29" s="172">
        <v>70</v>
      </c>
      <c r="K29" s="172">
        <v>65</v>
      </c>
      <c r="L29" s="156"/>
      <c r="M29" s="156"/>
      <c r="N29" s="156"/>
      <c r="O29" s="156"/>
      <c r="P29" s="156"/>
      <c r="Q29" s="173">
        <v>0</v>
      </c>
      <c r="R29" s="157"/>
      <c r="S29" s="159"/>
      <c r="T29" s="172">
        <f t="shared" si="8"/>
        <v>271</v>
      </c>
      <c r="U29" s="156">
        <f t="shared" si="0"/>
        <v>510844.39</v>
      </c>
      <c r="V29" s="156">
        <v>0</v>
      </c>
      <c r="W29" s="156"/>
      <c r="X29" s="156">
        <v>0</v>
      </c>
      <c r="Y29" s="156"/>
      <c r="Z29" s="156"/>
      <c r="AA29" s="156">
        <f t="shared" si="1"/>
        <v>0</v>
      </c>
      <c r="AB29" s="156"/>
      <c r="AC29" s="160"/>
      <c r="AD29" s="156">
        <v>10895</v>
      </c>
      <c r="AE29" s="156"/>
      <c r="AF29" s="156">
        <v>7994</v>
      </c>
      <c r="AG29" s="156">
        <v>699</v>
      </c>
      <c r="AH29" s="156">
        <v>2149</v>
      </c>
      <c r="AI29" s="156"/>
      <c r="AJ29" s="156">
        <v>0</v>
      </c>
      <c r="AK29" s="156">
        <f t="shared" si="2"/>
        <v>21737</v>
      </c>
      <c r="AL29" s="156">
        <v>0</v>
      </c>
      <c r="AM29" s="156">
        <v>0</v>
      </c>
      <c r="AN29" s="156">
        <v>7881</v>
      </c>
      <c r="AO29" s="156">
        <v>861</v>
      </c>
      <c r="AP29" s="156">
        <v>32780</v>
      </c>
      <c r="AQ29" s="156">
        <v>4631</v>
      </c>
      <c r="AR29" s="156">
        <f t="shared" si="3"/>
        <v>46153</v>
      </c>
      <c r="AS29" s="156">
        <v>68642</v>
      </c>
      <c r="AT29" s="156">
        <v>0</v>
      </c>
      <c r="AU29" s="156">
        <v>2512</v>
      </c>
      <c r="AV29" s="156">
        <v>0</v>
      </c>
      <c r="AW29" s="156"/>
      <c r="AX29" s="156">
        <v>0</v>
      </c>
      <c r="AY29" s="156">
        <v>7888</v>
      </c>
      <c r="AZ29" s="156">
        <v>0</v>
      </c>
      <c r="BA29" s="156">
        <f t="shared" si="4"/>
        <v>79042</v>
      </c>
      <c r="BB29" s="156"/>
      <c r="BC29" s="156"/>
      <c r="BD29" s="156"/>
      <c r="BE29" s="156">
        <f t="shared" si="5"/>
        <v>0</v>
      </c>
      <c r="BF29" s="156">
        <v>0</v>
      </c>
      <c r="BG29" s="156">
        <f t="shared" si="6"/>
        <v>657776.39</v>
      </c>
      <c r="DD29" s="175"/>
      <c r="DE29" s="126" t="s">
        <v>33</v>
      </c>
      <c r="DF29" s="126" t="s">
        <v>33</v>
      </c>
      <c r="DG29" s="126" t="s">
        <v>33</v>
      </c>
      <c r="DH29" s="126" t="s">
        <v>33</v>
      </c>
      <c r="DI29" s="176"/>
      <c r="DJ29" s="126" t="s">
        <v>33</v>
      </c>
      <c r="DK29" s="126" t="s">
        <v>33</v>
      </c>
      <c r="DL29" s="126" t="s">
        <v>33</v>
      </c>
      <c r="DM29" s="126" t="s">
        <v>33</v>
      </c>
      <c r="DN29" s="126" t="s">
        <v>33</v>
      </c>
      <c r="DO29" s="126" t="s">
        <v>33</v>
      </c>
      <c r="DP29" s="126" t="s">
        <v>33</v>
      </c>
      <c r="DQ29" s="126" t="s">
        <v>33</v>
      </c>
      <c r="DR29" s="161"/>
      <c r="DS29" s="126" t="s">
        <v>33</v>
      </c>
      <c r="DT29" s="122">
        <f t="shared" si="7"/>
        <v>0</v>
      </c>
    </row>
    <row r="30" spans="1:124" ht="12">
      <c r="A30" s="128" t="s">
        <v>459</v>
      </c>
      <c r="B30" s="128">
        <v>2005</v>
      </c>
      <c r="C30" s="156"/>
      <c r="D30" s="172">
        <v>20</v>
      </c>
      <c r="E30" s="172">
        <v>42</v>
      </c>
      <c r="F30" s="172">
        <v>49</v>
      </c>
      <c r="G30" s="172">
        <v>47</v>
      </c>
      <c r="H30" s="172">
        <v>0</v>
      </c>
      <c r="I30" s="172">
        <v>0</v>
      </c>
      <c r="J30" s="172">
        <v>0</v>
      </c>
      <c r="K30" s="172">
        <v>0</v>
      </c>
      <c r="L30" s="156"/>
      <c r="M30" s="156"/>
      <c r="N30" s="156"/>
      <c r="O30" s="156"/>
      <c r="P30" s="156"/>
      <c r="Q30" s="173">
        <v>0</v>
      </c>
      <c r="R30" s="157"/>
      <c r="S30" s="159"/>
      <c r="T30" s="172">
        <f t="shared" si="8"/>
        <v>158</v>
      </c>
      <c r="U30" s="156">
        <f t="shared" si="0"/>
        <v>288494.04</v>
      </c>
      <c r="V30" s="156">
        <v>49064</v>
      </c>
      <c r="W30" s="156"/>
      <c r="X30" s="156">
        <v>32000</v>
      </c>
      <c r="Y30" s="156"/>
      <c r="Z30" s="156"/>
      <c r="AA30" s="156">
        <f t="shared" si="1"/>
        <v>81064</v>
      </c>
      <c r="AB30" s="156"/>
      <c r="AC30" s="160"/>
      <c r="AD30" s="156">
        <v>7646</v>
      </c>
      <c r="AE30" s="156"/>
      <c r="AF30" s="156">
        <v>1545</v>
      </c>
      <c r="AG30" s="156">
        <v>135</v>
      </c>
      <c r="AH30" s="156">
        <v>1645</v>
      </c>
      <c r="AI30" s="156"/>
      <c r="AJ30" s="156">
        <v>0</v>
      </c>
      <c r="AK30" s="156">
        <f t="shared" si="2"/>
        <v>10971</v>
      </c>
      <c r="AL30" s="156">
        <v>0</v>
      </c>
      <c r="AM30" s="156">
        <v>0</v>
      </c>
      <c r="AN30" s="156">
        <v>8444</v>
      </c>
      <c r="AO30" s="156">
        <v>604</v>
      </c>
      <c r="AP30" s="156">
        <v>24285</v>
      </c>
      <c r="AQ30" s="156">
        <v>2871</v>
      </c>
      <c r="AR30" s="156">
        <f t="shared" si="3"/>
        <v>36204</v>
      </c>
      <c r="AS30" s="156">
        <v>69277</v>
      </c>
      <c r="AT30" s="156">
        <v>0</v>
      </c>
      <c r="AU30" s="156">
        <v>2000</v>
      </c>
      <c r="AV30" s="156">
        <v>23049</v>
      </c>
      <c r="AW30" s="156"/>
      <c r="AX30" s="156">
        <v>0</v>
      </c>
      <c r="AY30" s="156">
        <v>5988</v>
      </c>
      <c r="AZ30" s="156">
        <v>0</v>
      </c>
      <c r="BA30" s="156">
        <f t="shared" si="4"/>
        <v>100314</v>
      </c>
      <c r="BB30" s="156"/>
      <c r="BC30" s="156"/>
      <c r="BD30" s="156"/>
      <c r="BE30" s="156">
        <f t="shared" si="5"/>
        <v>0</v>
      </c>
      <c r="BF30" s="156">
        <v>0</v>
      </c>
      <c r="BG30" s="156">
        <f t="shared" si="6"/>
        <v>517047.04</v>
      </c>
      <c r="DD30" s="175"/>
      <c r="DE30" s="126" t="s">
        <v>33</v>
      </c>
      <c r="DF30" s="126" t="s">
        <v>33</v>
      </c>
      <c r="DG30" s="126" t="s">
        <v>33</v>
      </c>
      <c r="DH30" s="126" t="s">
        <v>33</v>
      </c>
      <c r="DI30" s="176"/>
      <c r="DJ30" s="126" t="s">
        <v>33</v>
      </c>
      <c r="DK30" s="126" t="s">
        <v>33</v>
      </c>
      <c r="DL30" s="126" t="s">
        <v>33</v>
      </c>
      <c r="DM30" s="126" t="s">
        <v>33</v>
      </c>
      <c r="DN30" s="126" t="s">
        <v>33</v>
      </c>
      <c r="DO30" s="126" t="s">
        <v>33</v>
      </c>
      <c r="DP30" s="126" t="s">
        <v>33</v>
      </c>
      <c r="DQ30" s="126" t="s">
        <v>33</v>
      </c>
      <c r="DR30" s="161"/>
      <c r="DS30" s="126" t="s">
        <v>33</v>
      </c>
      <c r="DT30" s="122">
        <f t="shared" si="7"/>
        <v>0</v>
      </c>
    </row>
    <row r="31" spans="1:124" ht="12">
      <c r="A31" s="128" t="s">
        <v>460</v>
      </c>
      <c r="B31" s="128">
        <v>2029</v>
      </c>
      <c r="C31" s="156"/>
      <c r="D31" s="172">
        <v>25</v>
      </c>
      <c r="E31" s="172">
        <v>56</v>
      </c>
      <c r="F31" s="172">
        <v>52</v>
      </c>
      <c r="G31" s="172">
        <v>60</v>
      </c>
      <c r="H31" s="172">
        <v>0</v>
      </c>
      <c r="I31" s="172">
        <v>0</v>
      </c>
      <c r="J31" s="172">
        <v>0</v>
      </c>
      <c r="K31" s="172">
        <v>0</v>
      </c>
      <c r="L31" s="156"/>
      <c r="M31" s="156"/>
      <c r="N31" s="156"/>
      <c r="O31" s="156"/>
      <c r="P31" s="156"/>
      <c r="Q31" s="173">
        <v>0</v>
      </c>
      <c r="R31" s="157"/>
      <c r="S31" s="159"/>
      <c r="T31" s="172">
        <f t="shared" si="8"/>
        <v>193</v>
      </c>
      <c r="U31" s="156">
        <f t="shared" si="0"/>
        <v>354037.57</v>
      </c>
      <c r="V31" s="156">
        <v>57597</v>
      </c>
      <c r="W31" s="156"/>
      <c r="X31" s="156">
        <v>4267</v>
      </c>
      <c r="Y31" s="156"/>
      <c r="Z31" s="156"/>
      <c r="AA31" s="156">
        <f t="shared" si="1"/>
        <v>61864</v>
      </c>
      <c r="AB31" s="156"/>
      <c r="AC31" s="160"/>
      <c r="AD31" s="156">
        <v>7646</v>
      </c>
      <c r="AE31" s="156"/>
      <c r="AF31" s="156">
        <v>2472</v>
      </c>
      <c r="AG31" s="156">
        <v>216</v>
      </c>
      <c r="AH31" s="156">
        <v>1645</v>
      </c>
      <c r="AI31" s="156"/>
      <c r="AJ31" s="156">
        <v>0</v>
      </c>
      <c r="AK31" s="156">
        <f t="shared" si="2"/>
        <v>11979</v>
      </c>
      <c r="AL31" s="156">
        <v>0</v>
      </c>
      <c r="AM31" s="156">
        <v>0</v>
      </c>
      <c r="AN31" s="156">
        <v>7664</v>
      </c>
      <c r="AO31" s="156">
        <v>539</v>
      </c>
      <c r="AP31" s="156">
        <v>21320</v>
      </c>
      <c r="AQ31" s="156">
        <v>1383</v>
      </c>
      <c r="AR31" s="156">
        <f t="shared" si="3"/>
        <v>30906</v>
      </c>
      <c r="AS31" s="156">
        <v>69277</v>
      </c>
      <c r="AT31" s="156">
        <v>0</v>
      </c>
      <c r="AU31" s="156">
        <v>1456</v>
      </c>
      <c r="AV31" s="156">
        <v>5309</v>
      </c>
      <c r="AW31" s="156"/>
      <c r="AX31" s="156">
        <v>0</v>
      </c>
      <c r="AY31" s="156">
        <v>2822</v>
      </c>
      <c r="AZ31" s="156">
        <v>0</v>
      </c>
      <c r="BA31" s="156">
        <f t="shared" si="4"/>
        <v>78864</v>
      </c>
      <c r="BB31" s="156"/>
      <c r="BC31" s="156"/>
      <c r="BD31" s="156"/>
      <c r="BE31" s="156">
        <f t="shared" si="5"/>
        <v>0</v>
      </c>
      <c r="BF31" s="156">
        <v>2664</v>
      </c>
      <c r="BG31" s="156">
        <f t="shared" si="6"/>
        <v>540314.5700000001</v>
      </c>
      <c r="DD31" s="175"/>
      <c r="DE31" s="126" t="s">
        <v>33</v>
      </c>
      <c r="DF31" s="126" t="s">
        <v>33</v>
      </c>
      <c r="DG31" s="126" t="s">
        <v>33</v>
      </c>
      <c r="DH31" s="126" t="s">
        <v>33</v>
      </c>
      <c r="DI31" s="176"/>
      <c r="DJ31" s="126" t="s">
        <v>33</v>
      </c>
      <c r="DK31" s="126" t="s">
        <v>33</v>
      </c>
      <c r="DL31" s="126" t="s">
        <v>33</v>
      </c>
      <c r="DM31" s="126" t="s">
        <v>33</v>
      </c>
      <c r="DN31" s="126" t="s">
        <v>33</v>
      </c>
      <c r="DO31" s="126" t="s">
        <v>33</v>
      </c>
      <c r="DP31" s="126" t="s">
        <v>33</v>
      </c>
      <c r="DQ31" s="126" t="s">
        <v>33</v>
      </c>
      <c r="DR31" s="161"/>
      <c r="DS31" s="126" t="s">
        <v>33</v>
      </c>
      <c r="DT31" s="122">
        <f t="shared" si="7"/>
        <v>0</v>
      </c>
    </row>
    <row r="32" spans="1:124" ht="12">
      <c r="A32" s="128" t="s">
        <v>461</v>
      </c>
      <c r="B32" s="128">
        <v>2006</v>
      </c>
      <c r="C32" s="156"/>
      <c r="D32" s="172">
        <v>35</v>
      </c>
      <c r="E32" s="172">
        <v>64</v>
      </c>
      <c r="F32" s="172">
        <v>58</v>
      </c>
      <c r="G32" s="172">
        <v>72</v>
      </c>
      <c r="H32" s="172">
        <v>0</v>
      </c>
      <c r="I32" s="172">
        <v>0</v>
      </c>
      <c r="J32" s="172">
        <v>0</v>
      </c>
      <c r="K32" s="172">
        <v>0</v>
      </c>
      <c r="L32" s="156"/>
      <c r="M32" s="156"/>
      <c r="N32" s="156"/>
      <c r="O32" s="156"/>
      <c r="P32" s="156"/>
      <c r="Q32" s="173">
        <v>0</v>
      </c>
      <c r="R32" s="157"/>
      <c r="S32" s="159"/>
      <c r="T32" s="172">
        <f t="shared" si="8"/>
        <v>229</v>
      </c>
      <c r="U32" s="156">
        <f t="shared" si="0"/>
        <v>411512.63</v>
      </c>
      <c r="V32" s="156">
        <v>74662</v>
      </c>
      <c r="W32" s="156"/>
      <c r="X32" s="156">
        <v>33066</v>
      </c>
      <c r="Y32" s="156"/>
      <c r="Z32" s="156"/>
      <c r="AA32" s="156">
        <f t="shared" si="1"/>
        <v>107728</v>
      </c>
      <c r="AB32" s="156"/>
      <c r="AC32" s="160"/>
      <c r="AD32" s="156">
        <v>0</v>
      </c>
      <c r="AE32" s="156"/>
      <c r="AF32" s="156">
        <v>9603</v>
      </c>
      <c r="AG32" s="156">
        <v>840</v>
      </c>
      <c r="AH32" s="156">
        <v>1517</v>
      </c>
      <c r="AI32" s="156"/>
      <c r="AJ32" s="156">
        <v>0</v>
      </c>
      <c r="AK32" s="156">
        <f t="shared" si="2"/>
        <v>11960</v>
      </c>
      <c r="AL32" s="156">
        <v>0</v>
      </c>
      <c r="AM32" s="156">
        <v>0</v>
      </c>
      <c r="AN32" s="156">
        <v>11042</v>
      </c>
      <c r="AO32" s="156">
        <v>656</v>
      </c>
      <c r="AP32" s="156">
        <v>23219</v>
      </c>
      <c r="AQ32" s="156">
        <v>2016</v>
      </c>
      <c r="AR32" s="156">
        <f t="shared" si="3"/>
        <v>36933</v>
      </c>
      <c r="AS32" s="156">
        <v>69277</v>
      </c>
      <c r="AT32" s="156">
        <v>0</v>
      </c>
      <c r="AU32" s="156">
        <v>2128</v>
      </c>
      <c r="AV32" s="156">
        <v>0</v>
      </c>
      <c r="AW32" s="156"/>
      <c r="AX32" s="156">
        <v>0</v>
      </c>
      <c r="AY32" s="156">
        <v>5258</v>
      </c>
      <c r="AZ32" s="156">
        <v>0</v>
      </c>
      <c r="BA32" s="156">
        <f t="shared" si="4"/>
        <v>76663</v>
      </c>
      <c r="BB32" s="156"/>
      <c r="BC32" s="156"/>
      <c r="BD32" s="156"/>
      <c r="BE32" s="156">
        <f t="shared" si="5"/>
        <v>0</v>
      </c>
      <c r="BF32" s="156">
        <v>0</v>
      </c>
      <c r="BG32" s="156">
        <f t="shared" si="6"/>
        <v>644796.63</v>
      </c>
      <c r="DD32" s="175"/>
      <c r="DE32" s="126" t="s">
        <v>33</v>
      </c>
      <c r="DF32" s="126" t="s">
        <v>33</v>
      </c>
      <c r="DG32" s="126" t="s">
        <v>33</v>
      </c>
      <c r="DH32" s="126" t="s">
        <v>33</v>
      </c>
      <c r="DI32" s="176"/>
      <c r="DJ32" s="126" t="s">
        <v>33</v>
      </c>
      <c r="DK32" s="126" t="s">
        <v>33</v>
      </c>
      <c r="DL32" s="126" t="s">
        <v>33</v>
      </c>
      <c r="DM32" s="126" t="s">
        <v>33</v>
      </c>
      <c r="DN32" s="126" t="s">
        <v>33</v>
      </c>
      <c r="DO32" s="126" t="s">
        <v>33</v>
      </c>
      <c r="DP32" s="126" t="s">
        <v>33</v>
      </c>
      <c r="DQ32" s="126" t="s">
        <v>33</v>
      </c>
      <c r="DR32" s="161"/>
      <c r="DS32" s="126" t="s">
        <v>33</v>
      </c>
      <c r="DT32" s="122">
        <f t="shared" si="7"/>
        <v>0</v>
      </c>
    </row>
    <row r="33" spans="1:124" ht="12">
      <c r="A33" s="128" t="s">
        <v>462</v>
      </c>
      <c r="B33" s="128">
        <v>2098</v>
      </c>
      <c r="C33" s="156"/>
      <c r="D33" s="172">
        <v>20.833333333333332</v>
      </c>
      <c r="E33" s="172">
        <v>39</v>
      </c>
      <c r="F33" s="172">
        <v>29</v>
      </c>
      <c r="G33" s="172">
        <v>29</v>
      </c>
      <c r="H33" s="172">
        <v>21</v>
      </c>
      <c r="I33" s="172">
        <v>23</v>
      </c>
      <c r="J33" s="172">
        <v>9</v>
      </c>
      <c r="K33" s="172">
        <v>0</v>
      </c>
      <c r="L33" s="156"/>
      <c r="M33" s="156"/>
      <c r="N33" s="156"/>
      <c r="O33" s="156"/>
      <c r="P33" s="156"/>
      <c r="Q33" s="173">
        <v>0</v>
      </c>
      <c r="R33" s="157"/>
      <c r="S33" s="159"/>
      <c r="T33" s="172">
        <f t="shared" si="8"/>
        <v>170.83333333333331</v>
      </c>
      <c r="U33" s="156">
        <f t="shared" si="0"/>
        <v>311496.57500000007</v>
      </c>
      <c r="V33" s="156">
        <v>47375</v>
      </c>
      <c r="W33" s="156"/>
      <c r="X33" s="156">
        <v>22400</v>
      </c>
      <c r="Y33" s="156"/>
      <c r="Z33" s="156"/>
      <c r="AA33" s="156">
        <f t="shared" si="1"/>
        <v>69775</v>
      </c>
      <c r="AB33" s="156"/>
      <c r="AC33" s="160"/>
      <c r="AD33" s="156">
        <v>28671</v>
      </c>
      <c r="AE33" s="156"/>
      <c r="AF33" s="156">
        <v>3935</v>
      </c>
      <c r="AG33" s="156">
        <v>344</v>
      </c>
      <c r="AH33" s="156">
        <v>379</v>
      </c>
      <c r="AI33" s="156"/>
      <c r="AJ33" s="156">
        <v>0</v>
      </c>
      <c r="AK33" s="156">
        <f t="shared" si="2"/>
        <v>33329</v>
      </c>
      <c r="AL33" s="156">
        <v>0</v>
      </c>
      <c r="AM33" s="156">
        <v>0</v>
      </c>
      <c r="AN33" s="156">
        <v>21001</v>
      </c>
      <c r="AO33" s="156">
        <v>3682</v>
      </c>
      <c r="AP33" s="156">
        <v>24540</v>
      </c>
      <c r="AQ33" s="156">
        <v>4752</v>
      </c>
      <c r="AR33" s="156">
        <f t="shared" si="3"/>
        <v>53975</v>
      </c>
      <c r="AS33" s="156">
        <v>69277</v>
      </c>
      <c r="AT33" s="156">
        <v>0</v>
      </c>
      <c r="AU33" s="156">
        <v>1264</v>
      </c>
      <c r="AV33" s="156">
        <v>33273</v>
      </c>
      <c r="AW33" s="156"/>
      <c r="AX33" s="156">
        <v>93705</v>
      </c>
      <c r="AY33" s="156">
        <v>3285</v>
      </c>
      <c r="AZ33" s="156">
        <v>0</v>
      </c>
      <c r="BA33" s="156">
        <f t="shared" si="4"/>
        <v>200804</v>
      </c>
      <c r="BB33" s="156"/>
      <c r="BC33" s="156"/>
      <c r="BD33" s="156"/>
      <c r="BE33" s="156">
        <f t="shared" si="5"/>
        <v>0</v>
      </c>
      <c r="BF33" s="156">
        <v>0</v>
      </c>
      <c r="BG33" s="156">
        <f t="shared" si="6"/>
        <v>669379.5750000001</v>
      </c>
      <c r="DD33" s="175"/>
      <c r="DE33" s="126" t="s">
        <v>33</v>
      </c>
      <c r="DF33" s="126" t="s">
        <v>33</v>
      </c>
      <c r="DG33" s="126" t="s">
        <v>33</v>
      </c>
      <c r="DH33" s="126" t="s">
        <v>33</v>
      </c>
      <c r="DI33" s="176"/>
      <c r="DJ33" s="126" t="s">
        <v>33</v>
      </c>
      <c r="DK33" s="126" t="s">
        <v>33</v>
      </c>
      <c r="DL33" s="126" t="s">
        <v>33</v>
      </c>
      <c r="DM33" s="126" t="s">
        <v>33</v>
      </c>
      <c r="DN33" s="126" t="s">
        <v>33</v>
      </c>
      <c r="DO33" s="126" t="s">
        <v>33</v>
      </c>
      <c r="DP33" s="126" t="s">
        <v>33</v>
      </c>
      <c r="DQ33" s="126" t="s">
        <v>33</v>
      </c>
      <c r="DR33" s="161"/>
      <c r="DS33" s="126" t="s">
        <v>33</v>
      </c>
      <c r="DT33" s="122">
        <f t="shared" si="7"/>
        <v>0</v>
      </c>
    </row>
    <row r="34" spans="1:124" ht="12">
      <c r="A34" s="128" t="s">
        <v>463</v>
      </c>
      <c r="B34" s="128">
        <v>2008</v>
      </c>
      <c r="C34" s="156"/>
      <c r="D34" s="172">
        <v>35.833333333333336</v>
      </c>
      <c r="E34" s="172">
        <v>79</v>
      </c>
      <c r="F34" s="172">
        <v>84</v>
      </c>
      <c r="G34" s="172">
        <v>90</v>
      </c>
      <c r="H34" s="172">
        <v>0</v>
      </c>
      <c r="I34" s="172">
        <v>0</v>
      </c>
      <c r="J34" s="172">
        <v>0</v>
      </c>
      <c r="K34" s="172">
        <v>0</v>
      </c>
      <c r="L34" s="156"/>
      <c r="M34" s="156"/>
      <c r="N34" s="156"/>
      <c r="O34" s="156"/>
      <c r="P34" s="156"/>
      <c r="Q34" s="173">
        <v>0</v>
      </c>
      <c r="R34" s="157"/>
      <c r="S34" s="159"/>
      <c r="T34" s="172">
        <f t="shared" si="8"/>
        <v>288.83333333333337</v>
      </c>
      <c r="U34" s="156">
        <f t="shared" si="0"/>
        <v>529523.405</v>
      </c>
      <c r="V34" s="156">
        <v>84795</v>
      </c>
      <c r="W34" s="156"/>
      <c r="X34" s="156">
        <v>11733</v>
      </c>
      <c r="Y34" s="156"/>
      <c r="Z34" s="156"/>
      <c r="AA34" s="156">
        <f t="shared" si="1"/>
        <v>96528</v>
      </c>
      <c r="AB34" s="156"/>
      <c r="AC34" s="160"/>
      <c r="AD34" s="156">
        <v>18158</v>
      </c>
      <c r="AE34" s="156"/>
      <c r="AF34" s="156">
        <v>2163</v>
      </c>
      <c r="AG34" s="156">
        <v>189</v>
      </c>
      <c r="AH34" s="156">
        <v>1137</v>
      </c>
      <c r="AI34" s="156"/>
      <c r="AJ34" s="156">
        <v>0</v>
      </c>
      <c r="AK34" s="156">
        <f t="shared" si="2"/>
        <v>21647</v>
      </c>
      <c r="AL34" s="156">
        <v>0</v>
      </c>
      <c r="AM34" s="156">
        <v>0</v>
      </c>
      <c r="AN34" s="156">
        <v>14549</v>
      </c>
      <c r="AO34" s="156">
        <v>776</v>
      </c>
      <c r="AP34" s="156">
        <v>27271</v>
      </c>
      <c r="AQ34" s="156">
        <v>5645</v>
      </c>
      <c r="AR34" s="156">
        <f t="shared" si="3"/>
        <v>48241</v>
      </c>
      <c r="AS34" s="156">
        <v>69277</v>
      </c>
      <c r="AT34" s="156">
        <v>0</v>
      </c>
      <c r="AU34" s="156">
        <v>6080</v>
      </c>
      <c r="AV34" s="156">
        <v>0</v>
      </c>
      <c r="AW34" s="156"/>
      <c r="AX34" s="156">
        <v>0</v>
      </c>
      <c r="AY34" s="156">
        <v>1361</v>
      </c>
      <c r="AZ34" s="156">
        <v>0</v>
      </c>
      <c r="BA34" s="156">
        <f t="shared" si="4"/>
        <v>76718</v>
      </c>
      <c r="BB34" s="156"/>
      <c r="BC34" s="156"/>
      <c r="BD34" s="156"/>
      <c r="BE34" s="156">
        <f t="shared" si="5"/>
        <v>0</v>
      </c>
      <c r="BF34" s="156">
        <v>0</v>
      </c>
      <c r="BG34" s="156">
        <f t="shared" si="6"/>
        <v>772657.405</v>
      </c>
      <c r="DD34" s="175"/>
      <c r="DE34" s="126" t="s">
        <v>33</v>
      </c>
      <c r="DF34" s="126" t="s">
        <v>33</v>
      </c>
      <c r="DG34" s="126" t="s">
        <v>33</v>
      </c>
      <c r="DH34" s="126" t="s">
        <v>33</v>
      </c>
      <c r="DI34" s="176"/>
      <c r="DJ34" s="126" t="s">
        <v>33</v>
      </c>
      <c r="DK34" s="126" t="s">
        <v>33</v>
      </c>
      <c r="DL34" s="126" t="s">
        <v>33</v>
      </c>
      <c r="DM34" s="126" t="s">
        <v>33</v>
      </c>
      <c r="DN34" s="126" t="s">
        <v>33</v>
      </c>
      <c r="DO34" s="126" t="s">
        <v>33</v>
      </c>
      <c r="DP34" s="126" t="s">
        <v>33</v>
      </c>
      <c r="DQ34" s="126" t="s">
        <v>33</v>
      </c>
      <c r="DR34" s="161"/>
      <c r="DS34" s="126" t="s">
        <v>33</v>
      </c>
      <c r="DT34" s="122">
        <f t="shared" si="7"/>
        <v>0</v>
      </c>
    </row>
    <row r="35" spans="1:124" ht="12">
      <c r="A35" s="128" t="s">
        <v>464</v>
      </c>
      <c r="B35" s="128">
        <v>2007</v>
      </c>
      <c r="C35" s="156"/>
      <c r="D35" s="172">
        <v>0</v>
      </c>
      <c r="E35" s="172">
        <v>0</v>
      </c>
      <c r="F35" s="172">
        <v>0</v>
      </c>
      <c r="G35" s="172">
        <v>0</v>
      </c>
      <c r="H35" s="172">
        <v>90</v>
      </c>
      <c r="I35" s="172">
        <v>90</v>
      </c>
      <c r="J35" s="172">
        <v>99</v>
      </c>
      <c r="K35" s="172">
        <v>96</v>
      </c>
      <c r="L35" s="156"/>
      <c r="M35" s="156"/>
      <c r="N35" s="156"/>
      <c r="O35" s="156"/>
      <c r="P35" s="156"/>
      <c r="Q35" s="173">
        <v>0</v>
      </c>
      <c r="R35" s="157"/>
      <c r="S35" s="159"/>
      <c r="T35" s="172">
        <f t="shared" si="8"/>
        <v>375</v>
      </c>
      <c r="U35" s="156">
        <f t="shared" si="0"/>
        <v>706791.75</v>
      </c>
      <c r="V35" s="156">
        <v>0</v>
      </c>
      <c r="W35" s="156"/>
      <c r="X35" s="156">
        <v>0</v>
      </c>
      <c r="Y35" s="156"/>
      <c r="Z35" s="156"/>
      <c r="AA35" s="156">
        <f t="shared" si="1"/>
        <v>0</v>
      </c>
      <c r="AB35" s="156"/>
      <c r="AC35" s="160"/>
      <c r="AD35" s="156">
        <v>38228</v>
      </c>
      <c r="AE35" s="156"/>
      <c r="AF35" s="156">
        <v>3187</v>
      </c>
      <c r="AG35" s="156">
        <v>279</v>
      </c>
      <c r="AH35" s="156">
        <v>506</v>
      </c>
      <c r="AI35" s="156"/>
      <c r="AJ35" s="156">
        <v>0</v>
      </c>
      <c r="AK35" s="156">
        <f t="shared" si="2"/>
        <v>42200</v>
      </c>
      <c r="AL35" s="156">
        <v>0</v>
      </c>
      <c r="AM35" s="156">
        <v>0</v>
      </c>
      <c r="AN35" s="156">
        <v>13423</v>
      </c>
      <c r="AO35" s="156">
        <v>1460</v>
      </c>
      <c r="AP35" s="156">
        <v>37480</v>
      </c>
      <c r="AQ35" s="156">
        <v>4677</v>
      </c>
      <c r="AR35" s="156">
        <f t="shared" si="3"/>
        <v>57040</v>
      </c>
      <c r="AS35" s="156">
        <v>68642</v>
      </c>
      <c r="AT35" s="156">
        <v>0</v>
      </c>
      <c r="AU35" s="156">
        <v>7504</v>
      </c>
      <c r="AV35" s="156">
        <v>0</v>
      </c>
      <c r="AW35" s="156"/>
      <c r="AX35" s="156">
        <v>0</v>
      </c>
      <c r="AY35" s="156">
        <v>18134</v>
      </c>
      <c r="AZ35" s="156">
        <v>0</v>
      </c>
      <c r="BA35" s="156">
        <f t="shared" si="4"/>
        <v>94280</v>
      </c>
      <c r="BB35" s="156"/>
      <c r="BC35" s="156"/>
      <c r="BD35" s="156"/>
      <c r="BE35" s="156">
        <f t="shared" si="5"/>
        <v>0</v>
      </c>
      <c r="BF35" s="156">
        <v>0</v>
      </c>
      <c r="BG35" s="156">
        <f t="shared" si="6"/>
        <v>900311.75</v>
      </c>
      <c r="DD35" s="175"/>
      <c r="DE35" s="126" t="s">
        <v>33</v>
      </c>
      <c r="DF35" s="126" t="s">
        <v>33</v>
      </c>
      <c r="DG35" s="126" t="s">
        <v>33</v>
      </c>
      <c r="DH35" s="126" t="s">
        <v>33</v>
      </c>
      <c r="DI35" s="176"/>
      <c r="DJ35" s="126" t="s">
        <v>33</v>
      </c>
      <c r="DK35" s="126" t="s">
        <v>33</v>
      </c>
      <c r="DL35" s="126" t="s">
        <v>33</v>
      </c>
      <c r="DM35" s="126" t="s">
        <v>33</v>
      </c>
      <c r="DN35" s="126" t="s">
        <v>33</v>
      </c>
      <c r="DO35" s="126" t="s">
        <v>33</v>
      </c>
      <c r="DP35" s="126" t="s">
        <v>33</v>
      </c>
      <c r="DQ35" s="126" t="s">
        <v>33</v>
      </c>
      <c r="DR35" s="161"/>
      <c r="DS35" s="126" t="s">
        <v>33</v>
      </c>
      <c r="DT35" s="122">
        <f t="shared" si="7"/>
        <v>0</v>
      </c>
    </row>
    <row r="36" spans="1:124" ht="12">
      <c r="A36" s="128" t="s">
        <v>465</v>
      </c>
      <c r="B36" s="128">
        <v>3311</v>
      </c>
      <c r="C36" s="156"/>
      <c r="D36" s="172">
        <v>10</v>
      </c>
      <c r="E36" s="172">
        <v>20</v>
      </c>
      <c r="F36" s="172">
        <v>20</v>
      </c>
      <c r="G36" s="172">
        <v>22</v>
      </c>
      <c r="H36" s="172">
        <v>30</v>
      </c>
      <c r="I36" s="172">
        <v>25</v>
      </c>
      <c r="J36" s="172">
        <v>20</v>
      </c>
      <c r="K36" s="172">
        <v>25</v>
      </c>
      <c r="L36" s="156"/>
      <c r="M36" s="156"/>
      <c r="N36" s="156"/>
      <c r="O36" s="156"/>
      <c r="P36" s="156"/>
      <c r="Q36" s="173">
        <v>0</v>
      </c>
      <c r="R36" s="157"/>
      <c r="S36" s="159"/>
      <c r="T36" s="172">
        <f t="shared" si="8"/>
        <v>172</v>
      </c>
      <c r="U36" s="156">
        <f t="shared" si="0"/>
        <v>319608.2</v>
      </c>
      <c r="V36" s="156">
        <v>24533</v>
      </c>
      <c r="W36" s="156"/>
      <c r="X36" s="156">
        <v>23466</v>
      </c>
      <c r="Y36" s="156"/>
      <c r="Z36" s="156"/>
      <c r="AA36" s="156">
        <f t="shared" si="1"/>
        <v>47999</v>
      </c>
      <c r="AB36" s="156"/>
      <c r="AC36" s="160"/>
      <c r="AD36" s="156">
        <v>13189</v>
      </c>
      <c r="AE36" s="156"/>
      <c r="AF36" s="156">
        <v>5343</v>
      </c>
      <c r="AG36" s="156">
        <v>467</v>
      </c>
      <c r="AH36" s="156">
        <v>2403</v>
      </c>
      <c r="AI36" s="156"/>
      <c r="AJ36" s="156">
        <v>0</v>
      </c>
      <c r="AK36" s="156">
        <f t="shared" si="2"/>
        <v>21402</v>
      </c>
      <c r="AL36" s="156">
        <v>0</v>
      </c>
      <c r="AM36" s="156">
        <v>0</v>
      </c>
      <c r="AN36" s="156">
        <v>2035</v>
      </c>
      <c r="AO36" s="156">
        <v>599</v>
      </c>
      <c r="AP36" s="156">
        <v>26808</v>
      </c>
      <c r="AQ36" s="156">
        <v>2522</v>
      </c>
      <c r="AR36" s="156">
        <f t="shared" si="3"/>
        <v>31964</v>
      </c>
      <c r="AS36" s="156">
        <v>69277</v>
      </c>
      <c r="AT36" s="156">
        <v>0</v>
      </c>
      <c r="AU36" s="156">
        <v>3328</v>
      </c>
      <c r="AV36" s="156">
        <v>31395</v>
      </c>
      <c r="AW36" s="156"/>
      <c r="AX36" s="156">
        <v>0</v>
      </c>
      <c r="AY36" s="156">
        <v>3510</v>
      </c>
      <c r="AZ36" s="156">
        <v>0</v>
      </c>
      <c r="BA36" s="156">
        <f t="shared" si="4"/>
        <v>107510</v>
      </c>
      <c r="BB36" s="156"/>
      <c r="BC36" s="156"/>
      <c r="BD36" s="156"/>
      <c r="BE36" s="156">
        <f t="shared" si="5"/>
        <v>0</v>
      </c>
      <c r="BF36" s="156">
        <v>0</v>
      </c>
      <c r="BG36" s="156">
        <f t="shared" si="6"/>
        <v>528483.2</v>
      </c>
      <c r="DD36" s="175"/>
      <c r="DE36" s="126" t="s">
        <v>33</v>
      </c>
      <c r="DF36" s="126" t="s">
        <v>33</v>
      </c>
      <c r="DG36" s="126" t="s">
        <v>33</v>
      </c>
      <c r="DH36" s="126" t="s">
        <v>33</v>
      </c>
      <c r="DI36" s="176"/>
      <c r="DJ36" s="126" t="s">
        <v>33</v>
      </c>
      <c r="DK36" s="126" t="s">
        <v>33</v>
      </c>
      <c r="DL36" s="126" t="s">
        <v>33</v>
      </c>
      <c r="DM36" s="126" t="s">
        <v>33</v>
      </c>
      <c r="DN36" s="126" t="s">
        <v>33</v>
      </c>
      <c r="DO36" s="126" t="s">
        <v>33</v>
      </c>
      <c r="DP36" s="126" t="s">
        <v>33</v>
      </c>
      <c r="DQ36" s="126" t="s">
        <v>33</v>
      </c>
      <c r="DR36" s="161"/>
      <c r="DS36" s="126" t="s">
        <v>33</v>
      </c>
      <c r="DT36" s="122">
        <f t="shared" si="7"/>
        <v>0</v>
      </c>
    </row>
    <row r="37" spans="1:124" ht="12">
      <c r="A37" s="128" t="s">
        <v>466</v>
      </c>
      <c r="B37" s="128">
        <v>2090</v>
      </c>
      <c r="C37" s="156"/>
      <c r="D37" s="172">
        <v>30</v>
      </c>
      <c r="E37" s="172">
        <v>60</v>
      </c>
      <c r="F37" s="172">
        <v>60</v>
      </c>
      <c r="G37" s="172">
        <v>60</v>
      </c>
      <c r="H37" s="172">
        <v>60</v>
      </c>
      <c r="I37" s="172">
        <v>60</v>
      </c>
      <c r="J37" s="172">
        <v>89</v>
      </c>
      <c r="K37" s="172">
        <v>84</v>
      </c>
      <c r="L37" s="156"/>
      <c r="M37" s="156"/>
      <c r="N37" s="156"/>
      <c r="O37" s="156"/>
      <c r="P37" s="156"/>
      <c r="Q37" s="173">
        <v>0</v>
      </c>
      <c r="R37" s="157"/>
      <c r="S37" s="159"/>
      <c r="T37" s="172">
        <f t="shared" si="8"/>
        <v>503</v>
      </c>
      <c r="U37" s="156">
        <f t="shared" si="0"/>
        <v>932404.97</v>
      </c>
      <c r="V37" s="156">
        <v>66129</v>
      </c>
      <c r="W37" s="156"/>
      <c r="X37" s="156">
        <v>0</v>
      </c>
      <c r="Y37" s="156"/>
      <c r="Z37" s="156"/>
      <c r="AA37" s="156">
        <f t="shared" si="1"/>
        <v>66129</v>
      </c>
      <c r="AB37" s="156"/>
      <c r="AC37" s="160"/>
      <c r="AD37" s="156">
        <v>28671</v>
      </c>
      <c r="AE37" s="156"/>
      <c r="AF37" s="156">
        <v>21501</v>
      </c>
      <c r="AG37" s="156">
        <v>1880</v>
      </c>
      <c r="AH37" s="156">
        <v>1265</v>
      </c>
      <c r="AI37" s="156"/>
      <c r="AJ37" s="156">
        <v>0</v>
      </c>
      <c r="AK37" s="156">
        <f t="shared" si="2"/>
        <v>53317</v>
      </c>
      <c r="AL37" s="156">
        <v>0</v>
      </c>
      <c r="AM37" s="156">
        <v>0</v>
      </c>
      <c r="AN37" s="156">
        <v>22343</v>
      </c>
      <c r="AO37" s="156">
        <v>1790</v>
      </c>
      <c r="AP37" s="156">
        <v>50119</v>
      </c>
      <c r="AQ37" s="156">
        <v>5455</v>
      </c>
      <c r="AR37" s="156">
        <f t="shared" si="3"/>
        <v>79707</v>
      </c>
      <c r="AS37" s="156">
        <v>69277</v>
      </c>
      <c r="AT37" s="156">
        <v>0</v>
      </c>
      <c r="AU37" s="156">
        <v>6576</v>
      </c>
      <c r="AV37" s="156">
        <v>0</v>
      </c>
      <c r="AW37" s="156"/>
      <c r="AX37" s="156">
        <v>0</v>
      </c>
      <c r="AY37" s="156">
        <v>15175</v>
      </c>
      <c r="AZ37" s="156">
        <v>0</v>
      </c>
      <c r="BA37" s="156">
        <f t="shared" si="4"/>
        <v>91028</v>
      </c>
      <c r="BB37" s="156"/>
      <c r="BC37" s="156"/>
      <c r="BD37" s="156"/>
      <c r="BE37" s="156">
        <f t="shared" si="5"/>
        <v>0</v>
      </c>
      <c r="BF37" s="156">
        <v>0</v>
      </c>
      <c r="BG37" s="156">
        <f t="shared" si="6"/>
        <v>1222585.97</v>
      </c>
      <c r="DD37" s="175"/>
      <c r="DE37" s="126" t="s">
        <v>33</v>
      </c>
      <c r="DF37" s="126" t="s">
        <v>33</v>
      </c>
      <c r="DG37" s="126" t="s">
        <v>33</v>
      </c>
      <c r="DH37" s="126" t="s">
        <v>33</v>
      </c>
      <c r="DI37" s="176"/>
      <c r="DJ37" s="126" t="s">
        <v>33</v>
      </c>
      <c r="DK37" s="126" t="s">
        <v>33</v>
      </c>
      <c r="DL37" s="126" t="s">
        <v>33</v>
      </c>
      <c r="DM37" s="126" t="s">
        <v>33</v>
      </c>
      <c r="DN37" s="126" t="s">
        <v>33</v>
      </c>
      <c r="DO37" s="126" t="s">
        <v>33</v>
      </c>
      <c r="DP37" s="126" t="s">
        <v>33</v>
      </c>
      <c r="DQ37" s="126" t="s">
        <v>33</v>
      </c>
      <c r="DR37" s="161"/>
      <c r="DS37" s="126" t="s">
        <v>33</v>
      </c>
      <c r="DT37" s="122">
        <f t="shared" si="7"/>
        <v>0</v>
      </c>
    </row>
    <row r="38" spans="1:124" ht="12">
      <c r="A38" s="128" t="s">
        <v>467</v>
      </c>
      <c r="B38" s="128">
        <v>2011</v>
      </c>
      <c r="C38" s="156"/>
      <c r="D38" s="172">
        <v>0</v>
      </c>
      <c r="E38" s="172">
        <v>0</v>
      </c>
      <c r="F38" s="172">
        <v>0</v>
      </c>
      <c r="G38" s="172">
        <v>0</v>
      </c>
      <c r="H38" s="172">
        <v>60</v>
      </c>
      <c r="I38" s="172">
        <v>60</v>
      </c>
      <c r="J38" s="172">
        <v>62</v>
      </c>
      <c r="K38" s="172">
        <v>58</v>
      </c>
      <c r="L38" s="156"/>
      <c r="M38" s="156"/>
      <c r="N38" s="156"/>
      <c r="O38" s="156"/>
      <c r="P38" s="156"/>
      <c r="Q38" s="173">
        <v>0</v>
      </c>
      <c r="R38" s="157"/>
      <c r="S38" s="159"/>
      <c r="T38" s="172">
        <f t="shared" si="8"/>
        <v>240</v>
      </c>
      <c r="U38" s="156">
        <f t="shared" si="0"/>
        <v>452520.6</v>
      </c>
      <c r="V38" s="156">
        <v>0</v>
      </c>
      <c r="W38" s="156"/>
      <c r="X38" s="156">
        <v>0</v>
      </c>
      <c r="Y38" s="156"/>
      <c r="Z38" s="156"/>
      <c r="AA38" s="156">
        <f t="shared" si="1"/>
        <v>0</v>
      </c>
      <c r="AB38" s="156"/>
      <c r="AC38" s="160"/>
      <c r="AD38" s="156">
        <v>4587</v>
      </c>
      <c r="AE38" s="156"/>
      <c r="AF38" s="156">
        <v>12101</v>
      </c>
      <c r="AG38" s="156">
        <v>1058</v>
      </c>
      <c r="AH38" s="156">
        <v>1770</v>
      </c>
      <c r="AI38" s="156"/>
      <c r="AJ38" s="156">
        <v>0</v>
      </c>
      <c r="AK38" s="156">
        <f t="shared" si="2"/>
        <v>19516</v>
      </c>
      <c r="AL38" s="156">
        <v>0</v>
      </c>
      <c r="AM38" s="156">
        <v>0</v>
      </c>
      <c r="AN38" s="156">
        <v>8530</v>
      </c>
      <c r="AO38" s="156">
        <v>1257</v>
      </c>
      <c r="AP38" s="156">
        <v>24446</v>
      </c>
      <c r="AQ38" s="156">
        <v>4236</v>
      </c>
      <c r="AR38" s="156">
        <f t="shared" si="3"/>
        <v>38469</v>
      </c>
      <c r="AS38" s="156">
        <v>68642</v>
      </c>
      <c r="AT38" s="156">
        <v>0</v>
      </c>
      <c r="AU38" s="156">
        <v>2480</v>
      </c>
      <c r="AV38" s="156">
        <v>0</v>
      </c>
      <c r="AW38" s="156"/>
      <c r="AX38" s="156">
        <v>0</v>
      </c>
      <c r="AY38" s="156">
        <v>8950</v>
      </c>
      <c r="AZ38" s="156">
        <v>0</v>
      </c>
      <c r="BA38" s="156">
        <f t="shared" si="4"/>
        <v>80072</v>
      </c>
      <c r="BB38" s="156"/>
      <c r="BC38" s="156"/>
      <c r="BD38" s="156"/>
      <c r="BE38" s="156">
        <f t="shared" si="5"/>
        <v>0</v>
      </c>
      <c r="BF38" s="156">
        <v>0</v>
      </c>
      <c r="BG38" s="156">
        <f t="shared" si="6"/>
        <v>590577.6</v>
      </c>
      <c r="DD38" s="175"/>
      <c r="DE38" s="126" t="s">
        <v>33</v>
      </c>
      <c r="DF38" s="126" t="s">
        <v>33</v>
      </c>
      <c r="DG38" s="126" t="s">
        <v>33</v>
      </c>
      <c r="DH38" s="126" t="s">
        <v>33</v>
      </c>
      <c r="DI38" s="176"/>
      <c r="DJ38" s="126" t="s">
        <v>33</v>
      </c>
      <c r="DK38" s="126" t="s">
        <v>33</v>
      </c>
      <c r="DL38" s="126" t="s">
        <v>33</v>
      </c>
      <c r="DM38" s="126" t="s">
        <v>33</v>
      </c>
      <c r="DN38" s="126" t="s">
        <v>33</v>
      </c>
      <c r="DO38" s="126" t="s">
        <v>33</v>
      </c>
      <c r="DP38" s="126" t="s">
        <v>33</v>
      </c>
      <c r="DQ38" s="126" t="s">
        <v>33</v>
      </c>
      <c r="DR38" s="161"/>
      <c r="DS38" s="126" t="s">
        <v>33</v>
      </c>
      <c r="DT38" s="122">
        <f t="shared" si="7"/>
        <v>0</v>
      </c>
    </row>
    <row r="39" spans="1:124" ht="12">
      <c r="A39" s="128" t="s">
        <v>468</v>
      </c>
      <c r="B39" s="128">
        <v>2012</v>
      </c>
      <c r="C39" s="156"/>
      <c r="D39" s="172">
        <v>0</v>
      </c>
      <c r="E39" s="172">
        <v>22</v>
      </c>
      <c r="F39" s="172">
        <v>29</v>
      </c>
      <c r="G39" s="172">
        <v>30</v>
      </c>
      <c r="H39" s="172">
        <v>68</v>
      </c>
      <c r="I39" s="172">
        <v>86</v>
      </c>
      <c r="J39" s="172">
        <v>64</v>
      </c>
      <c r="K39" s="172">
        <v>61</v>
      </c>
      <c r="L39" s="156"/>
      <c r="M39" s="156"/>
      <c r="N39" s="156"/>
      <c r="O39" s="156"/>
      <c r="P39" s="156"/>
      <c r="Q39" s="173">
        <v>16</v>
      </c>
      <c r="R39" s="157"/>
      <c r="S39" s="159"/>
      <c r="T39" s="172">
        <f t="shared" si="8"/>
        <v>376</v>
      </c>
      <c r="U39" s="156">
        <f t="shared" si="0"/>
        <v>688102.25</v>
      </c>
      <c r="V39" s="156">
        <v>0</v>
      </c>
      <c r="W39" s="156"/>
      <c r="X39" s="156">
        <v>8534</v>
      </c>
      <c r="Y39" s="156"/>
      <c r="Z39" s="156"/>
      <c r="AA39" s="156">
        <f t="shared" si="1"/>
        <v>8534</v>
      </c>
      <c r="AB39" s="156"/>
      <c r="AC39" s="160"/>
      <c r="AD39" s="156">
        <v>30414</v>
      </c>
      <c r="AE39" s="156"/>
      <c r="AF39" s="156">
        <v>16077</v>
      </c>
      <c r="AG39" s="156">
        <v>1405</v>
      </c>
      <c r="AH39" s="156">
        <v>4551</v>
      </c>
      <c r="AI39" s="156"/>
      <c r="AJ39" s="156">
        <v>39164</v>
      </c>
      <c r="AK39" s="156">
        <f t="shared" si="2"/>
        <v>91611</v>
      </c>
      <c r="AL39" s="156">
        <v>0</v>
      </c>
      <c r="AM39" s="156">
        <v>0</v>
      </c>
      <c r="AN39" s="156">
        <v>14722</v>
      </c>
      <c r="AO39" s="156">
        <v>1552</v>
      </c>
      <c r="AP39" s="156">
        <v>45281</v>
      </c>
      <c r="AQ39" s="156">
        <v>4754</v>
      </c>
      <c r="AR39" s="156">
        <f t="shared" si="3"/>
        <v>66309</v>
      </c>
      <c r="AS39" s="156">
        <v>69277</v>
      </c>
      <c r="AT39" s="156">
        <v>0</v>
      </c>
      <c r="AU39" s="156">
        <v>4176</v>
      </c>
      <c r="AV39" s="156">
        <v>0</v>
      </c>
      <c r="AW39" s="156"/>
      <c r="AX39" s="156">
        <v>0</v>
      </c>
      <c r="AY39" s="156">
        <v>11637</v>
      </c>
      <c r="AZ39" s="156">
        <v>0</v>
      </c>
      <c r="BA39" s="156">
        <f t="shared" si="4"/>
        <v>85090</v>
      </c>
      <c r="BB39" s="156"/>
      <c r="BC39" s="156"/>
      <c r="BD39" s="156"/>
      <c r="BE39" s="156">
        <f t="shared" si="5"/>
        <v>0</v>
      </c>
      <c r="BF39" s="156">
        <v>0</v>
      </c>
      <c r="BG39" s="156">
        <f t="shared" si="6"/>
        <v>939646.25</v>
      </c>
      <c r="DD39" s="175"/>
      <c r="DE39" s="126" t="s">
        <v>33</v>
      </c>
      <c r="DF39" s="126" t="s">
        <v>33</v>
      </c>
      <c r="DG39" s="126" t="s">
        <v>33</v>
      </c>
      <c r="DH39" s="126" t="s">
        <v>33</v>
      </c>
      <c r="DI39" s="176"/>
      <c r="DJ39" s="126" t="s">
        <v>33</v>
      </c>
      <c r="DK39" s="126" t="s">
        <v>33</v>
      </c>
      <c r="DL39" s="126" t="s">
        <v>33</v>
      </c>
      <c r="DM39" s="126" t="s">
        <v>33</v>
      </c>
      <c r="DN39" s="126" t="s">
        <v>33</v>
      </c>
      <c r="DO39" s="126" t="s">
        <v>33</v>
      </c>
      <c r="DP39" s="126" t="s">
        <v>33</v>
      </c>
      <c r="DQ39" s="126" t="s">
        <v>33</v>
      </c>
      <c r="DR39" s="161"/>
      <c r="DS39" s="126" t="s">
        <v>33</v>
      </c>
      <c r="DT39" s="122">
        <f t="shared" si="7"/>
        <v>0</v>
      </c>
    </row>
    <row r="40" spans="1:124" ht="12">
      <c r="A40" s="128" t="s">
        <v>469</v>
      </c>
      <c r="B40" s="128">
        <v>5200</v>
      </c>
      <c r="C40" s="156"/>
      <c r="D40" s="172">
        <v>25</v>
      </c>
      <c r="E40" s="172">
        <v>53</v>
      </c>
      <c r="F40" s="172">
        <v>58</v>
      </c>
      <c r="G40" s="172">
        <v>55</v>
      </c>
      <c r="H40" s="172">
        <v>57</v>
      </c>
      <c r="I40" s="172">
        <v>61</v>
      </c>
      <c r="J40" s="172">
        <v>45</v>
      </c>
      <c r="K40" s="172">
        <v>59</v>
      </c>
      <c r="L40" s="156"/>
      <c r="M40" s="156"/>
      <c r="N40" s="156"/>
      <c r="O40" s="156"/>
      <c r="P40" s="156"/>
      <c r="Q40" s="173">
        <v>0</v>
      </c>
      <c r="R40" s="157"/>
      <c r="S40" s="159"/>
      <c r="T40" s="172">
        <f t="shared" si="8"/>
        <v>413</v>
      </c>
      <c r="U40" s="156">
        <f t="shared" si="0"/>
        <v>767459.4400000001</v>
      </c>
      <c r="V40" s="156">
        <v>57597</v>
      </c>
      <c r="W40" s="156"/>
      <c r="X40" s="156">
        <v>7467</v>
      </c>
      <c r="Y40" s="156"/>
      <c r="Z40" s="156"/>
      <c r="AA40" s="156">
        <f t="shared" si="1"/>
        <v>65064</v>
      </c>
      <c r="AB40" s="156"/>
      <c r="AC40" s="160"/>
      <c r="AD40" s="156">
        <v>11086</v>
      </c>
      <c r="AE40" s="156"/>
      <c r="AF40" s="156">
        <v>37122</v>
      </c>
      <c r="AG40" s="156">
        <v>3247</v>
      </c>
      <c r="AH40" s="156">
        <v>18709</v>
      </c>
      <c r="AI40" s="156"/>
      <c r="AJ40" s="156">
        <v>0</v>
      </c>
      <c r="AK40" s="156">
        <f t="shared" si="2"/>
        <v>70164</v>
      </c>
      <c r="AL40" s="156">
        <v>0</v>
      </c>
      <c r="AM40" s="156">
        <v>0</v>
      </c>
      <c r="AN40" s="156">
        <v>25244</v>
      </c>
      <c r="AO40" s="156">
        <v>5484</v>
      </c>
      <c r="AP40" s="156">
        <v>51092</v>
      </c>
      <c r="AQ40" s="156">
        <v>4777</v>
      </c>
      <c r="AR40" s="156">
        <f t="shared" si="3"/>
        <v>86597</v>
      </c>
      <c r="AS40" s="156">
        <v>69277</v>
      </c>
      <c r="AT40" s="156">
        <v>31243</v>
      </c>
      <c r="AU40" s="156">
        <v>0</v>
      </c>
      <c r="AV40" s="156">
        <v>0</v>
      </c>
      <c r="AW40" s="156"/>
      <c r="AX40" s="156">
        <v>0</v>
      </c>
      <c r="AY40" s="156">
        <v>17494</v>
      </c>
      <c r="AZ40" s="156">
        <v>6000</v>
      </c>
      <c r="BA40" s="156">
        <f t="shared" si="4"/>
        <v>124014</v>
      </c>
      <c r="BB40" s="156"/>
      <c r="BC40" s="156"/>
      <c r="BD40" s="156"/>
      <c r="BE40" s="156">
        <f t="shared" si="5"/>
        <v>0</v>
      </c>
      <c r="BF40" s="156">
        <v>0</v>
      </c>
      <c r="BG40" s="156">
        <f t="shared" si="6"/>
        <v>1113298.44</v>
      </c>
      <c r="DD40" s="175"/>
      <c r="DE40" s="126" t="s">
        <v>33</v>
      </c>
      <c r="DF40" s="126" t="s">
        <v>33</v>
      </c>
      <c r="DG40" s="126" t="s">
        <v>33</v>
      </c>
      <c r="DH40" s="126" t="s">
        <v>33</v>
      </c>
      <c r="DI40" s="176"/>
      <c r="DJ40" s="126" t="s">
        <v>33</v>
      </c>
      <c r="DK40" s="126" t="s">
        <v>33</v>
      </c>
      <c r="DL40" s="126" t="s">
        <v>33</v>
      </c>
      <c r="DM40" s="126" t="s">
        <v>33</v>
      </c>
      <c r="DN40" s="126" t="s">
        <v>33</v>
      </c>
      <c r="DO40" s="126" t="s">
        <v>33</v>
      </c>
      <c r="DP40" s="126" t="s">
        <v>33</v>
      </c>
      <c r="DQ40" s="126" t="s">
        <v>33</v>
      </c>
      <c r="DR40" s="161"/>
      <c r="DS40" s="126" t="s">
        <v>33</v>
      </c>
      <c r="DT40" s="122">
        <f t="shared" si="7"/>
        <v>0</v>
      </c>
    </row>
    <row r="41" spans="1:124" ht="12">
      <c r="A41" s="128" t="s">
        <v>470</v>
      </c>
      <c r="B41" s="128">
        <v>2057</v>
      </c>
      <c r="C41" s="156"/>
      <c r="D41" s="172">
        <v>15</v>
      </c>
      <c r="E41" s="172">
        <v>27</v>
      </c>
      <c r="F41" s="172">
        <v>31</v>
      </c>
      <c r="G41" s="172">
        <v>29</v>
      </c>
      <c r="H41" s="172">
        <v>30</v>
      </c>
      <c r="I41" s="172">
        <v>29</v>
      </c>
      <c r="J41" s="172">
        <v>27</v>
      </c>
      <c r="K41" s="172">
        <v>31</v>
      </c>
      <c r="L41" s="156"/>
      <c r="M41" s="156"/>
      <c r="N41" s="156"/>
      <c r="O41" s="156"/>
      <c r="P41" s="156"/>
      <c r="Q41" s="173">
        <v>0</v>
      </c>
      <c r="R41" s="157"/>
      <c r="S41" s="159"/>
      <c r="T41" s="172">
        <f t="shared" si="8"/>
        <v>219</v>
      </c>
      <c r="U41" s="156">
        <f t="shared" si="0"/>
        <v>403983.72000000003</v>
      </c>
      <c r="V41" s="156">
        <v>33065</v>
      </c>
      <c r="W41" s="156"/>
      <c r="X41" s="156">
        <v>3200</v>
      </c>
      <c r="Y41" s="156"/>
      <c r="Z41" s="156"/>
      <c r="AA41" s="156">
        <f t="shared" si="1"/>
        <v>36265</v>
      </c>
      <c r="AB41" s="156"/>
      <c r="AC41" s="160"/>
      <c r="AD41" s="156">
        <v>19114</v>
      </c>
      <c r="AE41" s="156"/>
      <c r="AF41" s="156">
        <v>6782</v>
      </c>
      <c r="AG41" s="156">
        <v>593</v>
      </c>
      <c r="AH41" s="156">
        <v>252</v>
      </c>
      <c r="AI41" s="156"/>
      <c r="AJ41" s="156">
        <v>0</v>
      </c>
      <c r="AK41" s="156">
        <f t="shared" si="2"/>
        <v>26741</v>
      </c>
      <c r="AL41" s="156">
        <v>0</v>
      </c>
      <c r="AM41" s="156">
        <v>0</v>
      </c>
      <c r="AN41" s="156">
        <v>10176</v>
      </c>
      <c r="AO41" s="156">
        <v>206</v>
      </c>
      <c r="AP41" s="156">
        <v>23753</v>
      </c>
      <c r="AQ41" s="156">
        <v>2555</v>
      </c>
      <c r="AR41" s="156">
        <f t="shared" si="3"/>
        <v>36690</v>
      </c>
      <c r="AS41" s="156">
        <v>69277</v>
      </c>
      <c r="AT41" s="156">
        <v>0</v>
      </c>
      <c r="AU41" s="156">
        <v>1920</v>
      </c>
      <c r="AV41" s="156">
        <v>19529</v>
      </c>
      <c r="AW41" s="156"/>
      <c r="AX41" s="156">
        <v>0</v>
      </c>
      <c r="AY41" s="156">
        <v>5543</v>
      </c>
      <c r="AZ41" s="156">
        <v>0</v>
      </c>
      <c r="BA41" s="156">
        <f t="shared" si="4"/>
        <v>96269</v>
      </c>
      <c r="BB41" s="156"/>
      <c r="BC41" s="156"/>
      <c r="BD41" s="156"/>
      <c r="BE41" s="156">
        <f t="shared" si="5"/>
        <v>0</v>
      </c>
      <c r="BF41" s="156">
        <v>0</v>
      </c>
      <c r="BG41" s="156">
        <f t="shared" si="6"/>
        <v>599948.72</v>
      </c>
      <c r="DD41" s="175"/>
      <c r="DE41" s="126" t="s">
        <v>33</v>
      </c>
      <c r="DF41" s="126" t="s">
        <v>33</v>
      </c>
      <c r="DG41" s="126" t="s">
        <v>33</v>
      </c>
      <c r="DH41" s="126" t="s">
        <v>33</v>
      </c>
      <c r="DI41" s="176"/>
      <c r="DJ41" s="126" t="s">
        <v>33</v>
      </c>
      <c r="DK41" s="126" t="s">
        <v>33</v>
      </c>
      <c r="DL41" s="126" t="s">
        <v>33</v>
      </c>
      <c r="DM41" s="126" t="s">
        <v>33</v>
      </c>
      <c r="DN41" s="126" t="s">
        <v>33</v>
      </c>
      <c r="DO41" s="126" t="s">
        <v>33</v>
      </c>
      <c r="DP41" s="126" t="s">
        <v>33</v>
      </c>
      <c r="DQ41" s="126" t="s">
        <v>33</v>
      </c>
      <c r="DR41" s="161"/>
      <c r="DS41" s="126" t="s">
        <v>33</v>
      </c>
      <c r="DT41" s="122">
        <f t="shared" si="7"/>
        <v>0</v>
      </c>
    </row>
    <row r="42" spans="1:124" ht="12">
      <c r="A42" s="128" t="s">
        <v>471</v>
      </c>
      <c r="B42" s="128">
        <v>2013</v>
      </c>
      <c r="C42" s="156"/>
      <c r="D42" s="172">
        <v>15</v>
      </c>
      <c r="E42" s="172">
        <v>30</v>
      </c>
      <c r="F42" s="172">
        <v>30</v>
      </c>
      <c r="G42" s="172">
        <v>30</v>
      </c>
      <c r="H42" s="172">
        <v>30</v>
      </c>
      <c r="I42" s="172">
        <v>30</v>
      </c>
      <c r="J42" s="172">
        <v>30</v>
      </c>
      <c r="K42" s="172">
        <v>44</v>
      </c>
      <c r="L42" s="156"/>
      <c r="M42" s="156"/>
      <c r="N42" s="156"/>
      <c r="O42" s="156"/>
      <c r="P42" s="156"/>
      <c r="Q42" s="173">
        <v>0</v>
      </c>
      <c r="R42" s="157"/>
      <c r="S42" s="159"/>
      <c r="T42" s="172">
        <f t="shared" si="8"/>
        <v>239</v>
      </c>
      <c r="U42" s="156">
        <f t="shared" si="0"/>
        <v>442860.11</v>
      </c>
      <c r="V42" s="156">
        <v>33065</v>
      </c>
      <c r="W42" s="156"/>
      <c r="X42" s="156">
        <v>0</v>
      </c>
      <c r="Y42" s="156"/>
      <c r="Z42" s="156"/>
      <c r="AA42" s="156">
        <f t="shared" si="1"/>
        <v>33065</v>
      </c>
      <c r="AB42" s="156"/>
      <c r="AC42" s="160"/>
      <c r="AD42" s="156">
        <v>3823</v>
      </c>
      <c r="AE42" s="156"/>
      <c r="AF42" s="156">
        <v>4309</v>
      </c>
      <c r="AG42" s="156">
        <v>377</v>
      </c>
      <c r="AH42" s="156">
        <v>1770</v>
      </c>
      <c r="AI42" s="156"/>
      <c r="AJ42" s="156">
        <v>0</v>
      </c>
      <c r="AK42" s="156">
        <f t="shared" si="2"/>
        <v>10279</v>
      </c>
      <c r="AL42" s="156">
        <v>0</v>
      </c>
      <c r="AM42" s="156">
        <v>0</v>
      </c>
      <c r="AN42" s="156">
        <v>9526</v>
      </c>
      <c r="AO42" s="156">
        <v>0</v>
      </c>
      <c r="AP42" s="156">
        <v>22734</v>
      </c>
      <c r="AQ42" s="156">
        <v>1257</v>
      </c>
      <c r="AR42" s="156">
        <f t="shared" si="3"/>
        <v>33517</v>
      </c>
      <c r="AS42" s="156">
        <v>69277</v>
      </c>
      <c r="AT42" s="156">
        <v>0</v>
      </c>
      <c r="AU42" s="156">
        <v>2144</v>
      </c>
      <c r="AV42" s="156">
        <v>10983</v>
      </c>
      <c r="AW42" s="156"/>
      <c r="AX42" s="156">
        <v>6691</v>
      </c>
      <c r="AY42" s="156">
        <v>2326</v>
      </c>
      <c r="AZ42" s="156">
        <v>0</v>
      </c>
      <c r="BA42" s="156">
        <f t="shared" si="4"/>
        <v>91421</v>
      </c>
      <c r="BB42" s="156"/>
      <c r="BC42" s="156"/>
      <c r="BD42" s="156"/>
      <c r="BE42" s="156">
        <f t="shared" si="5"/>
        <v>0</v>
      </c>
      <c r="BF42" s="156">
        <v>0</v>
      </c>
      <c r="BG42" s="156">
        <f t="shared" si="6"/>
        <v>611142.11</v>
      </c>
      <c r="DD42" s="175"/>
      <c r="DE42" s="126" t="s">
        <v>33</v>
      </c>
      <c r="DF42" s="126" t="s">
        <v>33</v>
      </c>
      <c r="DG42" s="126" t="s">
        <v>33</v>
      </c>
      <c r="DH42" s="126" t="s">
        <v>33</v>
      </c>
      <c r="DI42" s="176"/>
      <c r="DJ42" s="126" t="s">
        <v>33</v>
      </c>
      <c r="DK42" s="126" t="s">
        <v>33</v>
      </c>
      <c r="DL42" s="126" t="s">
        <v>33</v>
      </c>
      <c r="DM42" s="126" t="s">
        <v>33</v>
      </c>
      <c r="DN42" s="126" t="s">
        <v>33</v>
      </c>
      <c r="DO42" s="126" t="s">
        <v>33</v>
      </c>
      <c r="DP42" s="126" t="s">
        <v>33</v>
      </c>
      <c r="DQ42" s="126" t="s">
        <v>33</v>
      </c>
      <c r="DR42" s="161"/>
      <c r="DS42" s="126" t="s">
        <v>33</v>
      </c>
      <c r="DT42" s="122">
        <f t="shared" si="7"/>
        <v>0</v>
      </c>
    </row>
    <row r="43" spans="1:124" ht="12">
      <c r="A43" s="128" t="s">
        <v>472</v>
      </c>
      <c r="B43" s="128">
        <v>2097</v>
      </c>
      <c r="C43" s="156"/>
      <c r="D43" s="172">
        <v>15</v>
      </c>
      <c r="E43" s="172">
        <v>25</v>
      </c>
      <c r="F43" s="172">
        <v>28</v>
      </c>
      <c r="G43" s="172">
        <v>32</v>
      </c>
      <c r="H43" s="172">
        <v>27</v>
      </c>
      <c r="I43" s="172">
        <v>37</v>
      </c>
      <c r="J43" s="172">
        <v>44</v>
      </c>
      <c r="K43" s="172">
        <v>36</v>
      </c>
      <c r="L43" s="156"/>
      <c r="M43" s="156"/>
      <c r="N43" s="156"/>
      <c r="O43" s="156"/>
      <c r="P43" s="156"/>
      <c r="Q43" s="173">
        <v>0</v>
      </c>
      <c r="R43" s="157"/>
      <c r="S43" s="159"/>
      <c r="T43" s="172">
        <f t="shared" si="8"/>
        <v>244</v>
      </c>
      <c r="U43" s="156">
        <f t="shared" si="0"/>
        <v>449432.06000000006</v>
      </c>
      <c r="V43" s="156">
        <v>33065</v>
      </c>
      <c r="W43" s="156"/>
      <c r="X43" s="156">
        <v>5333</v>
      </c>
      <c r="Y43" s="156"/>
      <c r="Z43" s="156"/>
      <c r="AA43" s="156">
        <f t="shared" si="1"/>
        <v>38398</v>
      </c>
      <c r="AB43" s="156"/>
      <c r="AC43" s="160"/>
      <c r="AD43" s="156">
        <v>13380</v>
      </c>
      <c r="AE43" s="156"/>
      <c r="AF43" s="156">
        <v>32120</v>
      </c>
      <c r="AG43" s="156">
        <v>2809</v>
      </c>
      <c r="AH43" s="156">
        <v>13906</v>
      </c>
      <c r="AI43" s="156"/>
      <c r="AJ43" s="156">
        <v>0</v>
      </c>
      <c r="AK43" s="156">
        <f t="shared" si="2"/>
        <v>62215</v>
      </c>
      <c r="AL43" s="156">
        <v>0</v>
      </c>
      <c r="AM43" s="156">
        <v>0</v>
      </c>
      <c r="AN43" s="156">
        <v>11821</v>
      </c>
      <c r="AO43" s="156">
        <v>1226</v>
      </c>
      <c r="AP43" s="156">
        <v>44448</v>
      </c>
      <c r="AQ43" s="156">
        <v>5754</v>
      </c>
      <c r="AR43" s="156">
        <f t="shared" si="3"/>
        <v>63249</v>
      </c>
      <c r="AS43" s="156">
        <v>69277</v>
      </c>
      <c r="AT43" s="156">
        <v>0</v>
      </c>
      <c r="AU43" s="156">
        <v>1328</v>
      </c>
      <c r="AV43" s="156">
        <v>8555</v>
      </c>
      <c r="AW43" s="156"/>
      <c r="AX43" s="156">
        <v>0</v>
      </c>
      <c r="AY43" s="156">
        <v>13011</v>
      </c>
      <c r="AZ43" s="156">
        <v>6000</v>
      </c>
      <c r="BA43" s="156">
        <f t="shared" si="4"/>
        <v>98171</v>
      </c>
      <c r="BB43" s="156"/>
      <c r="BC43" s="156"/>
      <c r="BD43" s="156"/>
      <c r="BE43" s="156">
        <f t="shared" si="5"/>
        <v>0</v>
      </c>
      <c r="BF43" s="156">
        <v>0</v>
      </c>
      <c r="BG43" s="156">
        <f t="shared" si="6"/>
        <v>711465.06</v>
      </c>
      <c r="DD43" s="175"/>
      <c r="DE43" s="126" t="s">
        <v>33</v>
      </c>
      <c r="DF43" s="126" t="s">
        <v>33</v>
      </c>
      <c r="DG43" s="126" t="s">
        <v>33</v>
      </c>
      <c r="DH43" s="126" t="s">
        <v>33</v>
      </c>
      <c r="DI43" s="176"/>
      <c r="DJ43" s="126" t="s">
        <v>33</v>
      </c>
      <c r="DK43" s="126" t="s">
        <v>33</v>
      </c>
      <c r="DL43" s="126" t="s">
        <v>33</v>
      </c>
      <c r="DM43" s="126" t="s">
        <v>33</v>
      </c>
      <c r="DN43" s="126" t="s">
        <v>33</v>
      </c>
      <c r="DO43" s="126" t="s">
        <v>33</v>
      </c>
      <c r="DP43" s="126" t="s">
        <v>33</v>
      </c>
      <c r="DQ43" s="126" t="s">
        <v>33</v>
      </c>
      <c r="DR43" s="161"/>
      <c r="DS43" s="126" t="s">
        <v>33</v>
      </c>
      <c r="DT43" s="122">
        <f t="shared" si="7"/>
        <v>0</v>
      </c>
    </row>
    <row r="44" spans="1:124" ht="12">
      <c r="A44" s="128" t="s">
        <v>473</v>
      </c>
      <c r="B44" s="128">
        <v>2053</v>
      </c>
      <c r="C44" s="156"/>
      <c r="D44" s="172">
        <v>25</v>
      </c>
      <c r="E44" s="172">
        <v>63</v>
      </c>
      <c r="F44" s="172">
        <v>66</v>
      </c>
      <c r="G44" s="172">
        <v>60</v>
      </c>
      <c r="H44" s="172">
        <v>0</v>
      </c>
      <c r="I44" s="172">
        <v>0</v>
      </c>
      <c r="J44" s="172">
        <v>0</v>
      </c>
      <c r="K44" s="172">
        <v>0</v>
      </c>
      <c r="L44" s="156"/>
      <c r="M44" s="156"/>
      <c r="N44" s="156"/>
      <c r="O44" s="156"/>
      <c r="P44" s="156"/>
      <c r="Q44" s="173">
        <v>0</v>
      </c>
      <c r="R44" s="157"/>
      <c r="S44" s="159"/>
      <c r="T44" s="172">
        <f t="shared" si="8"/>
        <v>214</v>
      </c>
      <c r="U44" s="156">
        <f t="shared" si="0"/>
        <v>396749.61</v>
      </c>
      <c r="V44" s="156">
        <v>57597</v>
      </c>
      <c r="W44" s="156"/>
      <c r="X44" s="156">
        <v>38400</v>
      </c>
      <c r="Y44" s="156"/>
      <c r="Z44" s="156"/>
      <c r="AA44" s="156">
        <f t="shared" si="1"/>
        <v>95997</v>
      </c>
      <c r="AB44" s="156"/>
      <c r="AC44" s="160"/>
      <c r="AD44" s="156">
        <v>9557</v>
      </c>
      <c r="AE44" s="156"/>
      <c r="AF44" s="156">
        <v>11751</v>
      </c>
      <c r="AG44" s="156">
        <v>1028</v>
      </c>
      <c r="AH44" s="156">
        <v>7585</v>
      </c>
      <c r="AI44" s="156"/>
      <c r="AJ44" s="156">
        <v>0</v>
      </c>
      <c r="AK44" s="156">
        <f t="shared" si="2"/>
        <v>29921</v>
      </c>
      <c r="AL44" s="156">
        <v>0</v>
      </c>
      <c r="AM44" s="156">
        <v>0</v>
      </c>
      <c r="AN44" s="156">
        <v>6940</v>
      </c>
      <c r="AO44" s="156">
        <v>551</v>
      </c>
      <c r="AP44" s="156">
        <v>26299</v>
      </c>
      <c r="AQ44" s="156">
        <v>1678</v>
      </c>
      <c r="AR44" s="156">
        <f t="shared" si="3"/>
        <v>35468</v>
      </c>
      <c r="AS44" s="156">
        <v>69277</v>
      </c>
      <c r="AT44" s="156">
        <v>0</v>
      </c>
      <c r="AU44" s="156">
        <v>1328</v>
      </c>
      <c r="AV44" s="156">
        <v>0</v>
      </c>
      <c r="AW44" s="156"/>
      <c r="AX44" s="156">
        <v>0</v>
      </c>
      <c r="AY44" s="156">
        <v>8654</v>
      </c>
      <c r="AZ44" s="156">
        <v>0</v>
      </c>
      <c r="BA44" s="156">
        <f t="shared" si="4"/>
        <v>79259</v>
      </c>
      <c r="BB44" s="156"/>
      <c r="BC44" s="156"/>
      <c r="BD44" s="156"/>
      <c r="BE44" s="156">
        <f t="shared" si="5"/>
        <v>0</v>
      </c>
      <c r="BF44" s="156">
        <v>1120</v>
      </c>
      <c r="BG44" s="156">
        <f t="shared" si="6"/>
        <v>638514.61</v>
      </c>
      <c r="DD44" s="175"/>
      <c r="DE44" s="126" t="s">
        <v>33</v>
      </c>
      <c r="DF44" s="126" t="s">
        <v>33</v>
      </c>
      <c r="DG44" s="126" t="s">
        <v>33</v>
      </c>
      <c r="DH44" s="126" t="s">
        <v>33</v>
      </c>
      <c r="DI44" s="176"/>
      <c r="DJ44" s="126" t="s">
        <v>33</v>
      </c>
      <c r="DK44" s="126" t="s">
        <v>33</v>
      </c>
      <c r="DL44" s="126" t="s">
        <v>33</v>
      </c>
      <c r="DM44" s="126" t="s">
        <v>33</v>
      </c>
      <c r="DN44" s="126" t="s">
        <v>33</v>
      </c>
      <c r="DO44" s="126" t="s">
        <v>33</v>
      </c>
      <c r="DP44" s="126" t="s">
        <v>33</v>
      </c>
      <c r="DQ44" s="126" t="s">
        <v>33</v>
      </c>
      <c r="DR44" s="161"/>
      <c r="DS44" s="126" t="s">
        <v>33</v>
      </c>
      <c r="DT44" s="122">
        <f t="shared" si="7"/>
        <v>0</v>
      </c>
    </row>
    <row r="45" spans="1:124" ht="12">
      <c r="A45" s="128" t="s">
        <v>474</v>
      </c>
      <c r="B45" s="128">
        <v>2052</v>
      </c>
      <c r="C45" s="156"/>
      <c r="D45" s="172">
        <v>0</v>
      </c>
      <c r="E45" s="172">
        <v>0</v>
      </c>
      <c r="F45" s="172">
        <v>0</v>
      </c>
      <c r="G45" s="172">
        <v>0</v>
      </c>
      <c r="H45" s="172">
        <v>59</v>
      </c>
      <c r="I45" s="172">
        <v>63</v>
      </c>
      <c r="J45" s="172">
        <v>56</v>
      </c>
      <c r="K45" s="172">
        <v>64</v>
      </c>
      <c r="L45" s="156"/>
      <c r="M45" s="156"/>
      <c r="N45" s="156"/>
      <c r="O45" s="156"/>
      <c r="P45" s="156"/>
      <c r="Q45" s="173">
        <v>0</v>
      </c>
      <c r="R45" s="157"/>
      <c r="S45" s="159"/>
      <c r="T45" s="172">
        <f t="shared" si="8"/>
        <v>242</v>
      </c>
      <c r="U45" s="156">
        <f t="shared" si="0"/>
        <v>456182.93000000005</v>
      </c>
      <c r="V45" s="156">
        <v>0</v>
      </c>
      <c r="W45" s="156"/>
      <c r="X45" s="156">
        <v>0</v>
      </c>
      <c r="Y45" s="156"/>
      <c r="Z45" s="156"/>
      <c r="AA45" s="156">
        <f t="shared" si="1"/>
        <v>0</v>
      </c>
      <c r="AB45" s="156"/>
      <c r="AC45" s="160"/>
      <c r="AD45" s="156">
        <v>47785</v>
      </c>
      <c r="AE45" s="156"/>
      <c r="AF45" s="156">
        <v>15337</v>
      </c>
      <c r="AG45" s="156">
        <v>1342</v>
      </c>
      <c r="AH45" s="156">
        <v>10744</v>
      </c>
      <c r="AI45" s="156"/>
      <c r="AJ45" s="156">
        <v>0</v>
      </c>
      <c r="AK45" s="156">
        <f t="shared" si="2"/>
        <v>75208</v>
      </c>
      <c r="AL45" s="156">
        <v>0</v>
      </c>
      <c r="AM45" s="156">
        <v>0</v>
      </c>
      <c r="AN45" s="156">
        <v>11215</v>
      </c>
      <c r="AO45" s="156">
        <v>855</v>
      </c>
      <c r="AP45" s="156">
        <v>32966</v>
      </c>
      <c r="AQ45" s="156">
        <v>3877</v>
      </c>
      <c r="AR45" s="156">
        <f t="shared" si="3"/>
        <v>48913</v>
      </c>
      <c r="AS45" s="156">
        <v>68642</v>
      </c>
      <c r="AT45" s="156">
        <v>0</v>
      </c>
      <c r="AU45" s="156">
        <v>1616</v>
      </c>
      <c r="AV45" s="156">
        <v>0</v>
      </c>
      <c r="AW45" s="156"/>
      <c r="AX45" s="156">
        <v>0</v>
      </c>
      <c r="AY45" s="156">
        <v>3767</v>
      </c>
      <c r="AZ45" s="156">
        <v>6000</v>
      </c>
      <c r="BA45" s="156">
        <f t="shared" si="4"/>
        <v>80025</v>
      </c>
      <c r="BB45" s="156"/>
      <c r="BC45" s="156"/>
      <c r="BD45" s="156"/>
      <c r="BE45" s="156">
        <f t="shared" si="5"/>
        <v>0</v>
      </c>
      <c r="BF45" s="156">
        <v>0</v>
      </c>
      <c r="BG45" s="156">
        <f t="shared" si="6"/>
        <v>660328.93</v>
      </c>
      <c r="DD45" s="175"/>
      <c r="DE45" s="126" t="s">
        <v>33</v>
      </c>
      <c r="DF45" s="126" t="s">
        <v>33</v>
      </c>
      <c r="DG45" s="126" t="s">
        <v>33</v>
      </c>
      <c r="DH45" s="126" t="s">
        <v>33</v>
      </c>
      <c r="DI45" s="176"/>
      <c r="DJ45" s="126" t="s">
        <v>33</v>
      </c>
      <c r="DK45" s="126" t="s">
        <v>33</v>
      </c>
      <c r="DL45" s="126" t="s">
        <v>33</v>
      </c>
      <c r="DM45" s="126" t="s">
        <v>33</v>
      </c>
      <c r="DN45" s="126" t="s">
        <v>33</v>
      </c>
      <c r="DO45" s="126" t="s">
        <v>33</v>
      </c>
      <c r="DP45" s="126" t="s">
        <v>33</v>
      </c>
      <c r="DQ45" s="126" t="s">
        <v>33</v>
      </c>
      <c r="DR45" s="161"/>
      <c r="DS45" s="126" t="s">
        <v>33</v>
      </c>
      <c r="DT45" s="122">
        <f t="shared" si="7"/>
        <v>0</v>
      </c>
    </row>
    <row r="46" spans="1:124" ht="12">
      <c r="A46" s="128" t="s">
        <v>475</v>
      </c>
      <c r="B46" s="128">
        <v>3012</v>
      </c>
      <c r="C46" s="156"/>
      <c r="D46" s="172">
        <v>25</v>
      </c>
      <c r="E46" s="172">
        <v>60</v>
      </c>
      <c r="F46" s="172">
        <v>53</v>
      </c>
      <c r="G46" s="172">
        <v>60</v>
      </c>
      <c r="H46" s="172">
        <v>60</v>
      </c>
      <c r="I46" s="172">
        <v>60</v>
      </c>
      <c r="J46" s="172">
        <v>60</v>
      </c>
      <c r="K46" s="172">
        <v>60</v>
      </c>
      <c r="L46" s="156"/>
      <c r="M46" s="156"/>
      <c r="N46" s="156"/>
      <c r="O46" s="156"/>
      <c r="P46" s="156"/>
      <c r="Q46" s="173">
        <v>0</v>
      </c>
      <c r="R46" s="157"/>
      <c r="S46" s="159"/>
      <c r="T46" s="172">
        <f t="shared" si="8"/>
        <v>438</v>
      </c>
      <c r="U46" s="156">
        <f t="shared" si="0"/>
        <v>817928.2500000001</v>
      </c>
      <c r="V46" s="156">
        <v>57597</v>
      </c>
      <c r="W46" s="156"/>
      <c r="X46" s="156">
        <v>0</v>
      </c>
      <c r="Y46" s="156"/>
      <c r="Z46" s="156"/>
      <c r="AA46" s="156">
        <f t="shared" si="1"/>
        <v>57597</v>
      </c>
      <c r="AB46" s="156"/>
      <c r="AC46" s="160"/>
      <c r="AD46" s="156">
        <v>21025</v>
      </c>
      <c r="AE46" s="156"/>
      <c r="AF46" s="156">
        <v>6839</v>
      </c>
      <c r="AG46" s="156">
        <v>598</v>
      </c>
      <c r="AH46" s="156">
        <v>1010</v>
      </c>
      <c r="AI46" s="156"/>
      <c r="AJ46" s="156">
        <v>0</v>
      </c>
      <c r="AK46" s="156">
        <f t="shared" si="2"/>
        <v>29472</v>
      </c>
      <c r="AL46" s="156">
        <v>0</v>
      </c>
      <c r="AM46" s="156">
        <v>0</v>
      </c>
      <c r="AN46" s="156">
        <v>16454</v>
      </c>
      <c r="AO46" s="156">
        <v>2075</v>
      </c>
      <c r="AP46" s="156">
        <v>45144</v>
      </c>
      <c r="AQ46" s="156">
        <v>5595</v>
      </c>
      <c r="AR46" s="156">
        <f t="shared" si="3"/>
        <v>69268</v>
      </c>
      <c r="AS46" s="156">
        <v>69277</v>
      </c>
      <c r="AT46" s="156">
        <v>0</v>
      </c>
      <c r="AU46" s="156">
        <v>8224</v>
      </c>
      <c r="AV46" s="156">
        <v>0</v>
      </c>
      <c r="AW46" s="156"/>
      <c r="AX46" s="156">
        <v>0</v>
      </c>
      <c r="AY46" s="156">
        <v>18001</v>
      </c>
      <c r="AZ46" s="156">
        <v>0</v>
      </c>
      <c r="BA46" s="156">
        <f t="shared" si="4"/>
        <v>95502</v>
      </c>
      <c r="BB46" s="156"/>
      <c r="BC46" s="156"/>
      <c r="BD46" s="156"/>
      <c r="BE46" s="156">
        <f t="shared" si="5"/>
        <v>0</v>
      </c>
      <c r="BF46" s="156">
        <v>0</v>
      </c>
      <c r="BG46" s="156">
        <f t="shared" si="6"/>
        <v>1069767.25</v>
      </c>
      <c r="DD46" s="175"/>
      <c r="DE46" s="126" t="s">
        <v>33</v>
      </c>
      <c r="DF46" s="126" t="s">
        <v>33</v>
      </c>
      <c r="DG46" s="126" t="s">
        <v>33</v>
      </c>
      <c r="DH46" s="126" t="s">
        <v>33</v>
      </c>
      <c r="DI46" s="176"/>
      <c r="DJ46" s="126" t="s">
        <v>33</v>
      </c>
      <c r="DK46" s="126" t="s">
        <v>33</v>
      </c>
      <c r="DL46" s="126" t="s">
        <v>33</v>
      </c>
      <c r="DM46" s="126" t="s">
        <v>33</v>
      </c>
      <c r="DN46" s="126" t="s">
        <v>33</v>
      </c>
      <c r="DO46" s="126" t="s">
        <v>33</v>
      </c>
      <c r="DP46" s="126" t="s">
        <v>33</v>
      </c>
      <c r="DQ46" s="126" t="s">
        <v>33</v>
      </c>
      <c r="DR46" s="161"/>
      <c r="DS46" s="126" t="s">
        <v>33</v>
      </c>
      <c r="DT46" s="122">
        <f t="shared" si="7"/>
        <v>0</v>
      </c>
    </row>
    <row r="47" spans="1:124" ht="12">
      <c r="A47" s="128" t="s">
        <v>476</v>
      </c>
      <c r="B47" s="128">
        <v>3312</v>
      </c>
      <c r="C47" s="156"/>
      <c r="D47" s="172">
        <v>10</v>
      </c>
      <c r="E47" s="172">
        <v>18</v>
      </c>
      <c r="F47" s="172">
        <v>18</v>
      </c>
      <c r="G47" s="172">
        <v>26</v>
      </c>
      <c r="H47" s="172">
        <v>23</v>
      </c>
      <c r="I47" s="172">
        <v>21</v>
      </c>
      <c r="J47" s="172">
        <v>25</v>
      </c>
      <c r="K47" s="172">
        <v>18</v>
      </c>
      <c r="L47" s="156"/>
      <c r="M47" s="156"/>
      <c r="N47" s="156"/>
      <c r="O47" s="156"/>
      <c r="P47" s="156"/>
      <c r="Q47" s="173">
        <v>0</v>
      </c>
      <c r="R47" s="157"/>
      <c r="S47" s="159"/>
      <c r="T47" s="172">
        <f t="shared" si="8"/>
        <v>159</v>
      </c>
      <c r="U47" s="156">
        <f t="shared" si="0"/>
        <v>293795.94</v>
      </c>
      <c r="V47" s="156">
        <v>24533</v>
      </c>
      <c r="W47" s="156"/>
      <c r="X47" s="156">
        <v>23466</v>
      </c>
      <c r="Y47" s="156"/>
      <c r="Z47" s="156"/>
      <c r="AA47" s="156">
        <f t="shared" si="1"/>
        <v>47999</v>
      </c>
      <c r="AB47" s="156"/>
      <c r="AC47" s="160"/>
      <c r="AD47" s="156">
        <v>12424</v>
      </c>
      <c r="AE47" s="156"/>
      <c r="AF47" s="156">
        <v>9839</v>
      </c>
      <c r="AG47" s="156">
        <v>861</v>
      </c>
      <c r="AH47" s="156">
        <v>631</v>
      </c>
      <c r="AI47" s="156"/>
      <c r="AJ47" s="156">
        <v>0</v>
      </c>
      <c r="AK47" s="156">
        <f t="shared" si="2"/>
        <v>23755</v>
      </c>
      <c r="AL47" s="156">
        <v>0</v>
      </c>
      <c r="AM47" s="156">
        <v>0</v>
      </c>
      <c r="AN47" s="156">
        <v>1507</v>
      </c>
      <c r="AO47" s="156">
        <v>0</v>
      </c>
      <c r="AP47" s="156">
        <v>14375</v>
      </c>
      <c r="AQ47" s="156">
        <v>3544</v>
      </c>
      <c r="AR47" s="156">
        <f t="shared" si="3"/>
        <v>19426</v>
      </c>
      <c r="AS47" s="156">
        <v>69277</v>
      </c>
      <c r="AT47" s="156">
        <v>0</v>
      </c>
      <c r="AU47" s="156">
        <v>1904</v>
      </c>
      <c r="AV47" s="156">
        <v>33399</v>
      </c>
      <c r="AW47" s="156"/>
      <c r="AX47" s="156">
        <v>0</v>
      </c>
      <c r="AY47" s="156">
        <v>6179</v>
      </c>
      <c r="AZ47" s="156">
        <v>0</v>
      </c>
      <c r="BA47" s="156">
        <f t="shared" si="4"/>
        <v>110759</v>
      </c>
      <c r="BB47" s="156"/>
      <c r="BC47" s="156"/>
      <c r="BD47" s="156"/>
      <c r="BE47" s="156">
        <f t="shared" si="5"/>
        <v>0</v>
      </c>
      <c r="BF47" s="156">
        <v>0</v>
      </c>
      <c r="BG47" s="156">
        <f t="shared" si="6"/>
        <v>495734.94</v>
      </c>
      <c r="DD47" s="175"/>
      <c r="DE47" s="126" t="s">
        <v>33</v>
      </c>
      <c r="DF47" s="126" t="s">
        <v>33</v>
      </c>
      <c r="DG47" s="126" t="s">
        <v>33</v>
      </c>
      <c r="DH47" s="126" t="s">
        <v>33</v>
      </c>
      <c r="DI47" s="176"/>
      <c r="DJ47" s="126" t="s">
        <v>33</v>
      </c>
      <c r="DK47" s="126" t="s">
        <v>33</v>
      </c>
      <c r="DL47" s="126" t="s">
        <v>33</v>
      </c>
      <c r="DM47" s="126" t="s">
        <v>33</v>
      </c>
      <c r="DN47" s="126" t="s">
        <v>33</v>
      </c>
      <c r="DO47" s="126" t="s">
        <v>33</v>
      </c>
      <c r="DP47" s="126" t="s">
        <v>33</v>
      </c>
      <c r="DQ47" s="126" t="s">
        <v>33</v>
      </c>
      <c r="DR47" s="161"/>
      <c r="DS47" s="126" t="s">
        <v>33</v>
      </c>
      <c r="DT47" s="122">
        <f t="shared" si="7"/>
        <v>0</v>
      </c>
    </row>
    <row r="48" spans="1:124" ht="12">
      <c r="A48" s="128" t="s">
        <v>477</v>
      </c>
      <c r="B48" s="128">
        <v>2091</v>
      </c>
      <c r="C48" s="156"/>
      <c r="D48" s="172">
        <v>25</v>
      </c>
      <c r="E48" s="172">
        <v>49</v>
      </c>
      <c r="F48" s="172">
        <v>54</v>
      </c>
      <c r="G48" s="172">
        <v>58</v>
      </c>
      <c r="H48" s="172">
        <v>61</v>
      </c>
      <c r="I48" s="172">
        <v>60</v>
      </c>
      <c r="J48" s="172">
        <v>61</v>
      </c>
      <c r="K48" s="172">
        <v>59</v>
      </c>
      <c r="L48" s="156"/>
      <c r="M48" s="156"/>
      <c r="N48" s="156"/>
      <c r="O48" s="156"/>
      <c r="P48" s="156"/>
      <c r="Q48" s="173">
        <v>0</v>
      </c>
      <c r="R48" s="157"/>
      <c r="S48" s="159"/>
      <c r="T48" s="172">
        <f t="shared" si="8"/>
        <v>427</v>
      </c>
      <c r="U48" s="156">
        <f t="shared" si="0"/>
        <v>791859.5700000001</v>
      </c>
      <c r="V48" s="156">
        <v>57597</v>
      </c>
      <c r="W48" s="156"/>
      <c r="X48" s="156">
        <v>11733</v>
      </c>
      <c r="Y48" s="156"/>
      <c r="Z48" s="156"/>
      <c r="AA48" s="156">
        <f t="shared" si="1"/>
        <v>69330</v>
      </c>
      <c r="AB48" s="156"/>
      <c r="AC48" s="160"/>
      <c r="AD48" s="156">
        <v>25039</v>
      </c>
      <c r="AE48" s="156"/>
      <c r="AF48" s="156">
        <v>39227</v>
      </c>
      <c r="AG48" s="156">
        <v>3431</v>
      </c>
      <c r="AH48" s="156">
        <v>6573</v>
      </c>
      <c r="AI48" s="156"/>
      <c r="AJ48" s="156">
        <v>0</v>
      </c>
      <c r="AK48" s="156">
        <f t="shared" si="2"/>
        <v>74270</v>
      </c>
      <c r="AL48" s="156">
        <v>0</v>
      </c>
      <c r="AM48" s="156">
        <v>0</v>
      </c>
      <c r="AN48" s="156">
        <v>15285</v>
      </c>
      <c r="AO48" s="156">
        <v>54</v>
      </c>
      <c r="AP48" s="156">
        <v>56163</v>
      </c>
      <c r="AQ48" s="156">
        <v>5483</v>
      </c>
      <c r="AR48" s="156">
        <f t="shared" si="3"/>
        <v>76985</v>
      </c>
      <c r="AS48" s="156">
        <v>69277</v>
      </c>
      <c r="AT48" s="156">
        <v>0</v>
      </c>
      <c r="AU48" s="156">
        <v>6080</v>
      </c>
      <c r="AV48" s="156">
        <v>0</v>
      </c>
      <c r="AW48" s="156"/>
      <c r="AX48" s="156">
        <v>0</v>
      </c>
      <c r="AY48" s="156">
        <v>12832</v>
      </c>
      <c r="AZ48" s="156">
        <v>0</v>
      </c>
      <c r="BA48" s="156">
        <f t="shared" si="4"/>
        <v>88189</v>
      </c>
      <c r="BB48" s="156"/>
      <c r="BC48" s="156"/>
      <c r="BD48" s="156"/>
      <c r="BE48" s="156">
        <f t="shared" si="5"/>
        <v>0</v>
      </c>
      <c r="BF48" s="156">
        <v>0</v>
      </c>
      <c r="BG48" s="156">
        <f t="shared" si="6"/>
        <v>1100633.57</v>
      </c>
      <c r="DD48" s="175"/>
      <c r="DE48" s="126" t="s">
        <v>33</v>
      </c>
      <c r="DF48" s="126" t="s">
        <v>33</v>
      </c>
      <c r="DG48" s="126" t="s">
        <v>33</v>
      </c>
      <c r="DH48" s="126" t="s">
        <v>33</v>
      </c>
      <c r="DI48" s="176"/>
      <c r="DJ48" s="126" t="s">
        <v>33</v>
      </c>
      <c r="DK48" s="126" t="s">
        <v>33</v>
      </c>
      <c r="DL48" s="126" t="s">
        <v>33</v>
      </c>
      <c r="DM48" s="126" t="s">
        <v>33</v>
      </c>
      <c r="DN48" s="126" t="s">
        <v>33</v>
      </c>
      <c r="DO48" s="126" t="s">
        <v>33</v>
      </c>
      <c r="DP48" s="126" t="s">
        <v>33</v>
      </c>
      <c r="DQ48" s="126" t="s">
        <v>33</v>
      </c>
      <c r="DR48" s="161"/>
      <c r="DS48" s="126" t="s">
        <v>33</v>
      </c>
      <c r="DT48" s="122">
        <f t="shared" si="7"/>
        <v>0</v>
      </c>
    </row>
    <row r="49" spans="1:124" ht="12">
      <c r="A49" s="128" t="s">
        <v>478</v>
      </c>
      <c r="B49" s="128">
        <v>2081</v>
      </c>
      <c r="C49" s="156"/>
      <c r="D49" s="172">
        <v>40</v>
      </c>
      <c r="E49" s="172">
        <v>80</v>
      </c>
      <c r="F49" s="172">
        <v>72</v>
      </c>
      <c r="G49" s="172">
        <v>90</v>
      </c>
      <c r="H49" s="172">
        <v>0</v>
      </c>
      <c r="I49" s="172">
        <v>0</v>
      </c>
      <c r="J49" s="172">
        <v>0</v>
      </c>
      <c r="K49" s="172">
        <v>0</v>
      </c>
      <c r="L49" s="156"/>
      <c r="M49" s="156"/>
      <c r="N49" s="156"/>
      <c r="O49" s="156"/>
      <c r="P49" s="156"/>
      <c r="Q49" s="173">
        <v>0</v>
      </c>
      <c r="R49" s="157"/>
      <c r="S49" s="159"/>
      <c r="T49" s="172">
        <f t="shared" si="8"/>
        <v>282</v>
      </c>
      <c r="U49" s="156">
        <f t="shared" si="0"/>
        <v>511608.4</v>
      </c>
      <c r="V49" s="156">
        <v>98128</v>
      </c>
      <c r="W49" s="156"/>
      <c r="X49" s="156">
        <v>10666</v>
      </c>
      <c r="Y49" s="156"/>
      <c r="Z49" s="156"/>
      <c r="AA49" s="156">
        <f t="shared" si="1"/>
        <v>108794</v>
      </c>
      <c r="AB49" s="156"/>
      <c r="AC49" s="160"/>
      <c r="AD49" s="156">
        <v>38228</v>
      </c>
      <c r="AE49" s="156"/>
      <c r="AF49" s="156">
        <v>15158</v>
      </c>
      <c r="AG49" s="156">
        <v>1326</v>
      </c>
      <c r="AH49" s="156">
        <v>1897</v>
      </c>
      <c r="AI49" s="156"/>
      <c r="AJ49" s="156">
        <v>0</v>
      </c>
      <c r="AK49" s="156">
        <f t="shared" si="2"/>
        <v>56609</v>
      </c>
      <c r="AL49" s="156">
        <v>0</v>
      </c>
      <c r="AM49" s="156">
        <v>0</v>
      </c>
      <c r="AN49" s="156">
        <v>10825</v>
      </c>
      <c r="AO49" s="156">
        <v>621</v>
      </c>
      <c r="AP49" s="156">
        <v>35489</v>
      </c>
      <c r="AQ49" s="156">
        <v>5976</v>
      </c>
      <c r="AR49" s="156">
        <f t="shared" si="3"/>
        <v>52911</v>
      </c>
      <c r="AS49" s="156">
        <v>69277</v>
      </c>
      <c r="AT49" s="156">
        <v>0</v>
      </c>
      <c r="AU49" s="156">
        <v>3168</v>
      </c>
      <c r="AV49" s="156">
        <v>0</v>
      </c>
      <c r="AW49" s="156"/>
      <c r="AX49" s="156">
        <v>0</v>
      </c>
      <c r="AY49" s="156">
        <v>2052</v>
      </c>
      <c r="AZ49" s="156">
        <v>0</v>
      </c>
      <c r="BA49" s="156">
        <f t="shared" si="4"/>
        <v>74497</v>
      </c>
      <c r="BB49" s="156"/>
      <c r="BC49" s="156"/>
      <c r="BD49" s="156"/>
      <c r="BE49" s="156">
        <f t="shared" si="5"/>
        <v>0</v>
      </c>
      <c r="BF49" s="156">
        <v>0</v>
      </c>
      <c r="BG49" s="156">
        <f t="shared" si="6"/>
        <v>804419.4</v>
      </c>
      <c r="DD49" s="175"/>
      <c r="DE49" s="126" t="s">
        <v>33</v>
      </c>
      <c r="DF49" s="126" t="s">
        <v>33</v>
      </c>
      <c r="DG49" s="126" t="s">
        <v>33</v>
      </c>
      <c r="DH49" s="126" t="s">
        <v>33</v>
      </c>
      <c r="DI49" s="176"/>
      <c r="DJ49" s="126" t="s">
        <v>33</v>
      </c>
      <c r="DK49" s="126" t="s">
        <v>33</v>
      </c>
      <c r="DL49" s="126" t="s">
        <v>33</v>
      </c>
      <c r="DM49" s="126" t="s">
        <v>33</v>
      </c>
      <c r="DN49" s="126" t="s">
        <v>33</v>
      </c>
      <c r="DO49" s="126" t="s">
        <v>33</v>
      </c>
      <c r="DP49" s="126" t="s">
        <v>33</v>
      </c>
      <c r="DQ49" s="126" t="s">
        <v>33</v>
      </c>
      <c r="DR49" s="161"/>
      <c r="DS49" s="126" t="s">
        <v>33</v>
      </c>
      <c r="DT49" s="122">
        <f t="shared" si="7"/>
        <v>0</v>
      </c>
    </row>
    <row r="50" spans="1:124" ht="12">
      <c r="A50" s="128" t="s">
        <v>479</v>
      </c>
      <c r="B50" s="128">
        <v>2051</v>
      </c>
      <c r="C50" s="156"/>
      <c r="D50" s="172">
        <v>0</v>
      </c>
      <c r="E50" s="172">
        <v>0</v>
      </c>
      <c r="F50" s="172">
        <v>0</v>
      </c>
      <c r="G50" s="172">
        <v>0</v>
      </c>
      <c r="H50" s="172">
        <v>83</v>
      </c>
      <c r="I50" s="172">
        <v>65</v>
      </c>
      <c r="J50" s="172">
        <v>78</v>
      </c>
      <c r="K50" s="172">
        <v>59</v>
      </c>
      <c r="L50" s="156"/>
      <c r="M50" s="156"/>
      <c r="N50" s="156"/>
      <c r="O50" s="156"/>
      <c r="P50" s="156"/>
      <c r="Q50" s="173">
        <v>0</v>
      </c>
      <c r="R50" s="157"/>
      <c r="S50" s="159"/>
      <c r="T50" s="172">
        <f t="shared" si="8"/>
        <v>285</v>
      </c>
      <c r="U50" s="156">
        <f t="shared" si="0"/>
        <v>538219.5</v>
      </c>
      <c r="V50" s="156">
        <v>0</v>
      </c>
      <c r="W50" s="156"/>
      <c r="X50" s="156">
        <v>0</v>
      </c>
      <c r="Y50" s="156"/>
      <c r="Z50" s="156"/>
      <c r="AA50" s="156">
        <f t="shared" si="1"/>
        <v>0</v>
      </c>
      <c r="AB50" s="156"/>
      <c r="AC50" s="160"/>
      <c r="AD50" s="156">
        <v>24466</v>
      </c>
      <c r="AE50" s="156"/>
      <c r="AF50" s="156">
        <v>3627</v>
      </c>
      <c r="AG50" s="156">
        <v>318</v>
      </c>
      <c r="AH50" s="156">
        <v>2276</v>
      </c>
      <c r="AI50" s="156"/>
      <c r="AJ50" s="156">
        <v>0</v>
      </c>
      <c r="AK50" s="156">
        <f t="shared" si="2"/>
        <v>30687</v>
      </c>
      <c r="AL50" s="156">
        <v>0</v>
      </c>
      <c r="AM50" s="156">
        <v>0</v>
      </c>
      <c r="AN50" s="156">
        <v>12600</v>
      </c>
      <c r="AO50" s="156">
        <v>918</v>
      </c>
      <c r="AP50" s="156">
        <v>25257</v>
      </c>
      <c r="AQ50" s="156">
        <v>4566</v>
      </c>
      <c r="AR50" s="156">
        <f t="shared" si="3"/>
        <v>43341</v>
      </c>
      <c r="AS50" s="156">
        <v>68642</v>
      </c>
      <c r="AT50" s="156">
        <v>0</v>
      </c>
      <c r="AU50" s="156">
        <v>3456</v>
      </c>
      <c r="AV50" s="156">
        <v>0</v>
      </c>
      <c r="AW50" s="156"/>
      <c r="AX50" s="156">
        <v>0</v>
      </c>
      <c r="AY50" s="156">
        <v>2866</v>
      </c>
      <c r="AZ50" s="156">
        <v>0</v>
      </c>
      <c r="BA50" s="156">
        <f t="shared" si="4"/>
        <v>74964</v>
      </c>
      <c r="BB50" s="156"/>
      <c r="BC50" s="156"/>
      <c r="BD50" s="156"/>
      <c r="BE50" s="156">
        <f t="shared" si="5"/>
        <v>0</v>
      </c>
      <c r="BF50" s="156">
        <v>0</v>
      </c>
      <c r="BG50" s="156">
        <f t="shared" si="6"/>
        <v>687211.5</v>
      </c>
      <c r="DD50" s="175"/>
      <c r="DE50" s="126" t="s">
        <v>33</v>
      </c>
      <c r="DF50" s="126" t="s">
        <v>33</v>
      </c>
      <c r="DG50" s="126" t="s">
        <v>33</v>
      </c>
      <c r="DH50" s="126" t="s">
        <v>33</v>
      </c>
      <c r="DI50" s="176"/>
      <c r="DJ50" s="126" t="s">
        <v>33</v>
      </c>
      <c r="DK50" s="126" t="s">
        <v>33</v>
      </c>
      <c r="DL50" s="126" t="s">
        <v>33</v>
      </c>
      <c r="DM50" s="126" t="s">
        <v>33</v>
      </c>
      <c r="DN50" s="126" t="s">
        <v>33</v>
      </c>
      <c r="DO50" s="126" t="s">
        <v>33</v>
      </c>
      <c r="DP50" s="126" t="s">
        <v>33</v>
      </c>
      <c r="DQ50" s="126" t="s">
        <v>33</v>
      </c>
      <c r="DR50" s="161"/>
      <c r="DS50" s="126" t="s">
        <v>33</v>
      </c>
      <c r="DT50" s="122">
        <f t="shared" si="7"/>
        <v>0</v>
      </c>
    </row>
    <row r="51" spans="1:124" ht="12">
      <c r="A51" s="128" t="s">
        <v>480</v>
      </c>
      <c r="B51" s="128">
        <v>3010</v>
      </c>
      <c r="C51" s="156"/>
      <c r="D51" s="172">
        <v>15</v>
      </c>
      <c r="E51" s="172">
        <v>30</v>
      </c>
      <c r="F51" s="172">
        <v>19</v>
      </c>
      <c r="G51" s="172">
        <v>27</v>
      </c>
      <c r="H51" s="172">
        <v>28</v>
      </c>
      <c r="I51" s="172">
        <v>26</v>
      </c>
      <c r="J51" s="172">
        <v>30</v>
      </c>
      <c r="K51" s="172">
        <v>29</v>
      </c>
      <c r="L51" s="156"/>
      <c r="M51" s="156"/>
      <c r="N51" s="156"/>
      <c r="O51" s="156"/>
      <c r="P51" s="156"/>
      <c r="Q51" s="173">
        <v>0</v>
      </c>
      <c r="R51" s="157"/>
      <c r="S51" s="159"/>
      <c r="T51" s="172">
        <f t="shared" si="8"/>
        <v>204</v>
      </c>
      <c r="U51" s="156">
        <f t="shared" si="0"/>
        <v>377426.42</v>
      </c>
      <c r="V51" s="156">
        <v>33065</v>
      </c>
      <c r="W51" s="156"/>
      <c r="X51" s="156">
        <v>8534</v>
      </c>
      <c r="Y51" s="156"/>
      <c r="Z51" s="156"/>
      <c r="AA51" s="156">
        <f t="shared" si="1"/>
        <v>41599</v>
      </c>
      <c r="AB51" s="156"/>
      <c r="AC51" s="160"/>
      <c r="AD51" s="156">
        <v>13188</v>
      </c>
      <c r="AE51" s="156"/>
      <c r="AF51" s="156">
        <v>13759</v>
      </c>
      <c r="AG51" s="156">
        <v>1203</v>
      </c>
      <c r="AH51" s="156">
        <v>631</v>
      </c>
      <c r="AI51" s="156"/>
      <c r="AJ51" s="156">
        <v>0</v>
      </c>
      <c r="AK51" s="156">
        <f t="shared" si="2"/>
        <v>28781</v>
      </c>
      <c r="AL51" s="156">
        <v>0</v>
      </c>
      <c r="AM51" s="156">
        <v>0</v>
      </c>
      <c r="AN51" s="156">
        <v>7318</v>
      </c>
      <c r="AO51" s="156">
        <v>616</v>
      </c>
      <c r="AP51" s="156">
        <v>21367</v>
      </c>
      <c r="AQ51" s="156">
        <v>2336</v>
      </c>
      <c r="AR51" s="156">
        <f t="shared" si="3"/>
        <v>31637</v>
      </c>
      <c r="AS51" s="156">
        <v>69277</v>
      </c>
      <c r="AT51" s="156">
        <v>0</v>
      </c>
      <c r="AU51" s="156">
        <v>2528</v>
      </c>
      <c r="AV51" s="156">
        <v>24713</v>
      </c>
      <c r="AW51" s="156"/>
      <c r="AX51" s="156">
        <v>0</v>
      </c>
      <c r="AY51" s="156">
        <v>2702</v>
      </c>
      <c r="AZ51" s="156">
        <v>0</v>
      </c>
      <c r="BA51" s="156">
        <f t="shared" si="4"/>
        <v>99220</v>
      </c>
      <c r="BB51" s="156"/>
      <c r="BC51" s="156"/>
      <c r="BD51" s="156"/>
      <c r="BE51" s="156">
        <f t="shared" si="5"/>
        <v>0</v>
      </c>
      <c r="BF51" s="156">
        <v>0</v>
      </c>
      <c r="BG51" s="156">
        <f t="shared" si="6"/>
        <v>578663.4199999999</v>
      </c>
      <c r="DD51" s="175"/>
      <c r="DE51" s="126" t="s">
        <v>33</v>
      </c>
      <c r="DF51" s="126" t="s">
        <v>33</v>
      </c>
      <c r="DG51" s="126" t="s">
        <v>33</v>
      </c>
      <c r="DH51" s="126" t="s">
        <v>33</v>
      </c>
      <c r="DI51" s="176"/>
      <c r="DJ51" s="126" t="s">
        <v>33</v>
      </c>
      <c r="DK51" s="126" t="s">
        <v>33</v>
      </c>
      <c r="DL51" s="126" t="s">
        <v>33</v>
      </c>
      <c r="DM51" s="126" t="s">
        <v>33</v>
      </c>
      <c r="DN51" s="126" t="s">
        <v>33</v>
      </c>
      <c r="DO51" s="126" t="s">
        <v>33</v>
      </c>
      <c r="DP51" s="126" t="s">
        <v>33</v>
      </c>
      <c r="DQ51" s="126" t="s">
        <v>33</v>
      </c>
      <c r="DR51" s="161"/>
      <c r="DS51" s="126" t="s">
        <v>33</v>
      </c>
      <c r="DT51" s="122">
        <f t="shared" si="7"/>
        <v>0</v>
      </c>
    </row>
    <row r="52" spans="1:124" ht="12">
      <c r="A52" s="128" t="s">
        <v>481</v>
      </c>
      <c r="B52" s="128">
        <v>2031</v>
      </c>
      <c r="C52" s="156"/>
      <c r="D52" s="172">
        <v>15</v>
      </c>
      <c r="E52" s="172">
        <v>30</v>
      </c>
      <c r="F52" s="172">
        <v>30</v>
      </c>
      <c r="G52" s="172">
        <v>29</v>
      </c>
      <c r="H52" s="172">
        <v>30</v>
      </c>
      <c r="I52" s="172">
        <v>30</v>
      </c>
      <c r="J52" s="172">
        <v>30</v>
      </c>
      <c r="K52" s="172">
        <v>32</v>
      </c>
      <c r="L52" s="156"/>
      <c r="M52" s="156"/>
      <c r="N52" s="156"/>
      <c r="O52" s="156"/>
      <c r="P52" s="156"/>
      <c r="Q52" s="173">
        <v>0</v>
      </c>
      <c r="R52" s="157"/>
      <c r="S52" s="159"/>
      <c r="T52" s="172">
        <f t="shared" si="8"/>
        <v>226</v>
      </c>
      <c r="U52" s="156">
        <f t="shared" si="0"/>
        <v>418589.03</v>
      </c>
      <c r="V52" s="156">
        <v>33065</v>
      </c>
      <c r="W52" s="156"/>
      <c r="X52" s="156">
        <v>0</v>
      </c>
      <c r="Y52" s="156"/>
      <c r="Z52" s="156"/>
      <c r="AA52" s="156">
        <f t="shared" si="1"/>
        <v>33065</v>
      </c>
      <c r="AB52" s="156"/>
      <c r="AC52" s="160"/>
      <c r="AD52" s="156">
        <v>4779</v>
      </c>
      <c r="AE52" s="156"/>
      <c r="AF52" s="156">
        <v>16598</v>
      </c>
      <c r="AG52" s="156">
        <v>1452</v>
      </c>
      <c r="AH52" s="156">
        <v>2149</v>
      </c>
      <c r="AI52" s="156"/>
      <c r="AJ52" s="156">
        <v>0</v>
      </c>
      <c r="AK52" s="156">
        <f t="shared" si="2"/>
        <v>24978</v>
      </c>
      <c r="AL52" s="156">
        <v>0</v>
      </c>
      <c r="AM52" s="156">
        <v>0</v>
      </c>
      <c r="AN52" s="156">
        <v>8790</v>
      </c>
      <c r="AO52" s="156">
        <v>901</v>
      </c>
      <c r="AP52" s="156">
        <v>24933</v>
      </c>
      <c r="AQ52" s="156">
        <v>3900</v>
      </c>
      <c r="AR52" s="156">
        <f t="shared" si="3"/>
        <v>38524</v>
      </c>
      <c r="AS52" s="156">
        <v>69277</v>
      </c>
      <c r="AT52" s="156">
        <v>0</v>
      </c>
      <c r="AU52" s="156">
        <v>2768</v>
      </c>
      <c r="AV52" s="156">
        <v>16751</v>
      </c>
      <c r="AW52" s="156"/>
      <c r="AX52" s="156">
        <v>0</v>
      </c>
      <c r="AY52" s="156">
        <v>4608</v>
      </c>
      <c r="AZ52" s="156">
        <v>0</v>
      </c>
      <c r="BA52" s="156">
        <f t="shared" si="4"/>
        <v>93404</v>
      </c>
      <c r="BB52" s="156"/>
      <c r="BC52" s="156"/>
      <c r="BD52" s="156"/>
      <c r="BE52" s="156">
        <f t="shared" si="5"/>
        <v>0</v>
      </c>
      <c r="BF52" s="156">
        <v>0</v>
      </c>
      <c r="BG52" s="156">
        <f t="shared" si="6"/>
        <v>608560.03</v>
      </c>
      <c r="DD52" s="175"/>
      <c r="DE52" s="126" t="s">
        <v>33</v>
      </c>
      <c r="DF52" s="126" t="s">
        <v>33</v>
      </c>
      <c r="DG52" s="126" t="s">
        <v>33</v>
      </c>
      <c r="DH52" s="126" t="s">
        <v>33</v>
      </c>
      <c r="DI52" s="176"/>
      <c r="DJ52" s="126" t="s">
        <v>33</v>
      </c>
      <c r="DK52" s="126" t="s">
        <v>33</v>
      </c>
      <c r="DL52" s="126" t="s">
        <v>33</v>
      </c>
      <c r="DM52" s="126" t="s">
        <v>33</v>
      </c>
      <c r="DN52" s="126" t="s">
        <v>33</v>
      </c>
      <c r="DO52" s="126" t="s">
        <v>33</v>
      </c>
      <c r="DP52" s="126" t="s">
        <v>33</v>
      </c>
      <c r="DQ52" s="126" t="s">
        <v>33</v>
      </c>
      <c r="DR52" s="161"/>
      <c r="DS52" s="126" t="s">
        <v>33</v>
      </c>
      <c r="DT52" s="122">
        <f t="shared" si="7"/>
        <v>0</v>
      </c>
    </row>
    <row r="53" spans="1:124" ht="12">
      <c r="A53" s="128" t="s">
        <v>482</v>
      </c>
      <c r="B53" s="128">
        <v>2096</v>
      </c>
      <c r="C53" s="156"/>
      <c r="D53" s="172">
        <v>30</v>
      </c>
      <c r="E53" s="172">
        <v>70</v>
      </c>
      <c r="F53" s="172">
        <v>81</v>
      </c>
      <c r="G53" s="172">
        <v>89</v>
      </c>
      <c r="H53" s="172">
        <v>88</v>
      </c>
      <c r="I53" s="172">
        <v>89</v>
      </c>
      <c r="J53" s="172">
        <v>89</v>
      </c>
      <c r="K53" s="172">
        <v>84</v>
      </c>
      <c r="L53" s="156"/>
      <c r="M53" s="156"/>
      <c r="N53" s="156"/>
      <c r="O53" s="156"/>
      <c r="P53" s="156"/>
      <c r="Q53" s="173">
        <v>0</v>
      </c>
      <c r="R53" s="157"/>
      <c r="S53" s="159"/>
      <c r="T53" s="172">
        <f t="shared" si="8"/>
        <v>620</v>
      </c>
      <c r="U53" s="156">
        <f t="shared" si="0"/>
        <v>1157764</v>
      </c>
      <c r="V53" s="156">
        <v>66129</v>
      </c>
      <c r="W53" s="156"/>
      <c r="X53" s="156">
        <v>21333</v>
      </c>
      <c r="Y53" s="156"/>
      <c r="Z53" s="156"/>
      <c r="AA53" s="156">
        <f t="shared" si="1"/>
        <v>87462</v>
      </c>
      <c r="AB53" s="156"/>
      <c r="AC53" s="160"/>
      <c r="AD53" s="156">
        <v>38228</v>
      </c>
      <c r="AE53" s="156"/>
      <c r="AF53" s="156">
        <v>21241</v>
      </c>
      <c r="AG53" s="156">
        <v>1858</v>
      </c>
      <c r="AH53" s="156">
        <v>1517</v>
      </c>
      <c r="AI53" s="156"/>
      <c r="AJ53" s="156">
        <v>0</v>
      </c>
      <c r="AK53" s="156">
        <f t="shared" si="2"/>
        <v>62844</v>
      </c>
      <c r="AL53" s="156">
        <v>0</v>
      </c>
      <c r="AM53" s="156">
        <v>0</v>
      </c>
      <c r="AN53" s="156">
        <v>34857</v>
      </c>
      <c r="AO53" s="156">
        <v>2128</v>
      </c>
      <c r="AP53" s="156">
        <v>43198</v>
      </c>
      <c r="AQ53" s="156">
        <v>5052</v>
      </c>
      <c r="AR53" s="156">
        <f t="shared" si="3"/>
        <v>85235</v>
      </c>
      <c r="AS53" s="156">
        <v>69277</v>
      </c>
      <c r="AT53" s="156">
        <v>0</v>
      </c>
      <c r="AU53" s="156">
        <v>5040</v>
      </c>
      <c r="AV53" s="156">
        <v>0</v>
      </c>
      <c r="AW53" s="156"/>
      <c r="AX53" s="156">
        <v>0</v>
      </c>
      <c r="AY53" s="156">
        <v>22495</v>
      </c>
      <c r="AZ53" s="156">
        <v>0</v>
      </c>
      <c r="BA53" s="156">
        <f t="shared" si="4"/>
        <v>96812</v>
      </c>
      <c r="BB53" s="156"/>
      <c r="BC53" s="156"/>
      <c r="BD53" s="156"/>
      <c r="BE53" s="156">
        <f t="shared" si="5"/>
        <v>0</v>
      </c>
      <c r="BF53" s="156">
        <v>0</v>
      </c>
      <c r="BG53" s="156">
        <f t="shared" si="6"/>
        <v>1490117</v>
      </c>
      <c r="DD53" s="175"/>
      <c r="DE53" s="126" t="s">
        <v>33</v>
      </c>
      <c r="DF53" s="126" t="s">
        <v>33</v>
      </c>
      <c r="DG53" s="126" t="s">
        <v>33</v>
      </c>
      <c r="DH53" s="126" t="s">
        <v>33</v>
      </c>
      <c r="DI53" s="176"/>
      <c r="DJ53" s="126" t="s">
        <v>33</v>
      </c>
      <c r="DK53" s="126" t="s">
        <v>33</v>
      </c>
      <c r="DL53" s="126" t="s">
        <v>33</v>
      </c>
      <c r="DM53" s="126" t="s">
        <v>33</v>
      </c>
      <c r="DN53" s="126" t="s">
        <v>33</v>
      </c>
      <c r="DO53" s="126" t="s">
        <v>33</v>
      </c>
      <c r="DP53" s="126" t="s">
        <v>33</v>
      </c>
      <c r="DQ53" s="126" t="s">
        <v>33</v>
      </c>
      <c r="DR53" s="161"/>
      <c r="DS53" s="126" t="s">
        <v>33</v>
      </c>
      <c r="DT53" s="122">
        <f t="shared" si="7"/>
        <v>0</v>
      </c>
    </row>
    <row r="54" spans="1:124" ht="12">
      <c r="A54" s="128" t="s">
        <v>483</v>
      </c>
      <c r="B54" s="128">
        <v>2030</v>
      </c>
      <c r="C54" s="156"/>
      <c r="D54" s="172">
        <v>15</v>
      </c>
      <c r="E54" s="172">
        <v>30</v>
      </c>
      <c r="F54" s="172">
        <v>30</v>
      </c>
      <c r="G54" s="172">
        <v>30</v>
      </c>
      <c r="H54" s="172">
        <v>30</v>
      </c>
      <c r="I54" s="172">
        <v>30</v>
      </c>
      <c r="J54" s="172">
        <v>30</v>
      </c>
      <c r="K54" s="172">
        <v>30</v>
      </c>
      <c r="L54" s="156"/>
      <c r="M54" s="156"/>
      <c r="N54" s="156"/>
      <c r="O54" s="156"/>
      <c r="P54" s="156"/>
      <c r="Q54" s="173">
        <v>0</v>
      </c>
      <c r="R54" s="157"/>
      <c r="S54" s="159"/>
      <c r="T54" s="172">
        <f t="shared" si="8"/>
        <v>225</v>
      </c>
      <c r="U54" s="156">
        <f t="shared" si="0"/>
        <v>416716.65</v>
      </c>
      <c r="V54" s="156">
        <v>33065</v>
      </c>
      <c r="W54" s="156"/>
      <c r="X54" s="156">
        <v>0</v>
      </c>
      <c r="Y54" s="156"/>
      <c r="Z54" s="156"/>
      <c r="AA54" s="156">
        <f t="shared" si="1"/>
        <v>33065</v>
      </c>
      <c r="AB54" s="156"/>
      <c r="AC54" s="160"/>
      <c r="AD54" s="156">
        <v>0</v>
      </c>
      <c r="AE54" s="156"/>
      <c r="AF54" s="156">
        <v>3521</v>
      </c>
      <c r="AG54" s="156">
        <v>308</v>
      </c>
      <c r="AH54" s="156">
        <v>0</v>
      </c>
      <c r="AI54" s="156"/>
      <c r="AJ54" s="156">
        <v>0</v>
      </c>
      <c r="AK54" s="156">
        <f t="shared" si="2"/>
        <v>3829</v>
      </c>
      <c r="AL54" s="156">
        <v>0</v>
      </c>
      <c r="AM54" s="156">
        <v>0</v>
      </c>
      <c r="AN54" s="156">
        <v>9006</v>
      </c>
      <c r="AO54" s="156">
        <v>966</v>
      </c>
      <c r="AP54" s="156">
        <v>25789</v>
      </c>
      <c r="AQ54" s="156">
        <v>2559</v>
      </c>
      <c r="AR54" s="156">
        <f t="shared" si="3"/>
        <v>38320</v>
      </c>
      <c r="AS54" s="156">
        <v>69277</v>
      </c>
      <c r="AT54" s="156">
        <v>0</v>
      </c>
      <c r="AU54" s="156">
        <v>4256</v>
      </c>
      <c r="AV54" s="156">
        <v>17162</v>
      </c>
      <c r="AW54" s="156"/>
      <c r="AX54" s="156">
        <v>0</v>
      </c>
      <c r="AY54" s="156">
        <v>9257</v>
      </c>
      <c r="AZ54" s="156">
        <v>0</v>
      </c>
      <c r="BA54" s="156">
        <f t="shared" si="4"/>
        <v>99952</v>
      </c>
      <c r="BB54" s="156"/>
      <c r="BC54" s="156"/>
      <c r="BD54" s="156"/>
      <c r="BE54" s="156">
        <f t="shared" si="5"/>
        <v>0</v>
      </c>
      <c r="BF54" s="156">
        <v>0</v>
      </c>
      <c r="BG54" s="156">
        <f t="shared" si="6"/>
        <v>591882.65</v>
      </c>
      <c r="DD54" s="175"/>
      <c r="DE54" s="126" t="s">
        <v>33</v>
      </c>
      <c r="DF54" s="126" t="s">
        <v>33</v>
      </c>
      <c r="DG54" s="126" t="s">
        <v>33</v>
      </c>
      <c r="DH54" s="126" t="s">
        <v>33</v>
      </c>
      <c r="DI54" s="176"/>
      <c r="DJ54" s="126" t="s">
        <v>33</v>
      </c>
      <c r="DK54" s="126" t="s">
        <v>33</v>
      </c>
      <c r="DL54" s="126" t="s">
        <v>33</v>
      </c>
      <c r="DM54" s="126" t="s">
        <v>33</v>
      </c>
      <c r="DN54" s="126" t="s">
        <v>33</v>
      </c>
      <c r="DO54" s="126" t="s">
        <v>33</v>
      </c>
      <c r="DP54" s="126" t="s">
        <v>33</v>
      </c>
      <c r="DQ54" s="126" t="s">
        <v>33</v>
      </c>
      <c r="DR54" s="161"/>
      <c r="DS54" s="126" t="s">
        <v>33</v>
      </c>
      <c r="DT54" s="122">
        <f t="shared" si="7"/>
        <v>0</v>
      </c>
    </row>
    <row r="55" spans="1:124" ht="12">
      <c r="A55" s="128" t="s">
        <v>484</v>
      </c>
      <c r="B55" s="128">
        <v>3504</v>
      </c>
      <c r="C55" s="156"/>
      <c r="D55" s="172">
        <v>15</v>
      </c>
      <c r="E55" s="172">
        <v>30</v>
      </c>
      <c r="F55" s="172">
        <v>30</v>
      </c>
      <c r="G55" s="172">
        <v>47</v>
      </c>
      <c r="H55" s="172">
        <v>33</v>
      </c>
      <c r="I55" s="172">
        <v>59</v>
      </c>
      <c r="J55" s="172">
        <v>60</v>
      </c>
      <c r="K55" s="172">
        <v>59</v>
      </c>
      <c r="L55" s="156"/>
      <c r="M55" s="156"/>
      <c r="N55" s="156"/>
      <c r="O55" s="156"/>
      <c r="P55" s="156"/>
      <c r="Q55" s="173">
        <v>0</v>
      </c>
      <c r="R55" s="157"/>
      <c r="S55" s="159"/>
      <c r="T55" s="172">
        <f t="shared" si="8"/>
        <v>333</v>
      </c>
      <c r="U55" s="156">
        <f t="shared" si="0"/>
        <v>618527.29</v>
      </c>
      <c r="V55" s="156">
        <v>33065</v>
      </c>
      <c r="W55" s="156"/>
      <c r="X55" s="156">
        <v>4267</v>
      </c>
      <c r="Y55" s="156"/>
      <c r="Z55" s="156"/>
      <c r="AA55" s="156">
        <f t="shared" si="1"/>
        <v>37332</v>
      </c>
      <c r="AB55" s="156"/>
      <c r="AC55" s="160"/>
      <c r="AD55" s="156">
        <v>28671</v>
      </c>
      <c r="AE55" s="156"/>
      <c r="AF55" s="156">
        <v>14011</v>
      </c>
      <c r="AG55" s="156">
        <v>1225</v>
      </c>
      <c r="AH55" s="156">
        <v>2024</v>
      </c>
      <c r="AI55" s="156"/>
      <c r="AJ55" s="156">
        <v>0</v>
      </c>
      <c r="AK55" s="156">
        <f t="shared" si="2"/>
        <v>45931</v>
      </c>
      <c r="AL55" s="156">
        <v>0</v>
      </c>
      <c r="AM55" s="156">
        <v>0</v>
      </c>
      <c r="AN55" s="156">
        <v>2278</v>
      </c>
      <c r="AO55" s="156">
        <v>1061</v>
      </c>
      <c r="AP55" s="156">
        <v>34911</v>
      </c>
      <c r="AQ55" s="156">
        <v>1944</v>
      </c>
      <c r="AR55" s="156">
        <f t="shared" si="3"/>
        <v>40194</v>
      </c>
      <c r="AS55" s="156">
        <v>69277</v>
      </c>
      <c r="AT55" s="156">
        <v>0</v>
      </c>
      <c r="AU55" s="156">
        <v>4224</v>
      </c>
      <c r="AV55" s="156">
        <v>0</v>
      </c>
      <c r="AW55" s="156"/>
      <c r="AX55" s="156">
        <v>0</v>
      </c>
      <c r="AY55" s="156">
        <v>9358</v>
      </c>
      <c r="AZ55" s="156">
        <v>0</v>
      </c>
      <c r="BA55" s="156">
        <f t="shared" si="4"/>
        <v>82859</v>
      </c>
      <c r="BB55" s="156"/>
      <c r="BC55" s="156"/>
      <c r="BD55" s="156"/>
      <c r="BE55" s="156">
        <f t="shared" si="5"/>
        <v>0</v>
      </c>
      <c r="BF55" s="156">
        <v>0</v>
      </c>
      <c r="BG55" s="156">
        <f t="shared" si="6"/>
        <v>824843.29</v>
      </c>
      <c r="DD55" s="175"/>
      <c r="DE55" s="126" t="s">
        <v>33</v>
      </c>
      <c r="DF55" s="126" t="s">
        <v>33</v>
      </c>
      <c r="DG55" s="126" t="s">
        <v>33</v>
      </c>
      <c r="DH55" s="126" t="s">
        <v>33</v>
      </c>
      <c r="DI55" s="176"/>
      <c r="DJ55" s="126" t="s">
        <v>33</v>
      </c>
      <c r="DK55" s="126" t="s">
        <v>33</v>
      </c>
      <c r="DL55" s="126" t="s">
        <v>33</v>
      </c>
      <c r="DM55" s="126" t="s">
        <v>33</v>
      </c>
      <c r="DN55" s="126" t="s">
        <v>33</v>
      </c>
      <c r="DO55" s="126" t="s">
        <v>33</v>
      </c>
      <c r="DP55" s="126" t="s">
        <v>33</v>
      </c>
      <c r="DQ55" s="126" t="s">
        <v>33</v>
      </c>
      <c r="DR55" s="161"/>
      <c r="DS55" s="126" t="s">
        <v>33</v>
      </c>
      <c r="DT55" s="122">
        <f t="shared" si="7"/>
        <v>0</v>
      </c>
    </row>
    <row r="56" spans="1:124" ht="12">
      <c r="A56" s="128" t="s">
        <v>485</v>
      </c>
      <c r="B56" s="128">
        <v>3500</v>
      </c>
      <c r="C56" s="156"/>
      <c r="D56" s="172">
        <v>20</v>
      </c>
      <c r="E56" s="172">
        <v>60</v>
      </c>
      <c r="F56" s="172">
        <v>60</v>
      </c>
      <c r="G56" s="172">
        <v>59</v>
      </c>
      <c r="H56" s="172">
        <v>59</v>
      </c>
      <c r="I56" s="172">
        <v>63</v>
      </c>
      <c r="J56" s="172">
        <v>63</v>
      </c>
      <c r="K56" s="172">
        <v>63</v>
      </c>
      <c r="L56" s="156"/>
      <c r="M56" s="156"/>
      <c r="N56" s="156"/>
      <c r="O56" s="156"/>
      <c r="P56" s="156"/>
      <c r="Q56" s="173">
        <v>0</v>
      </c>
      <c r="R56" s="157"/>
      <c r="S56" s="159"/>
      <c r="T56" s="172">
        <f t="shared" si="8"/>
        <v>447</v>
      </c>
      <c r="U56" s="156">
        <f t="shared" si="0"/>
        <v>841501.0700000001</v>
      </c>
      <c r="V56" s="156">
        <v>49064</v>
      </c>
      <c r="W56" s="156"/>
      <c r="X56" s="156">
        <v>0</v>
      </c>
      <c r="Y56" s="156"/>
      <c r="Z56" s="156"/>
      <c r="AA56" s="156">
        <f t="shared" si="1"/>
        <v>49064</v>
      </c>
      <c r="AB56" s="156"/>
      <c r="AC56" s="160"/>
      <c r="AD56" s="156">
        <v>41286</v>
      </c>
      <c r="AE56" s="156"/>
      <c r="AF56" s="156">
        <v>13198</v>
      </c>
      <c r="AG56" s="156">
        <v>1155</v>
      </c>
      <c r="AH56" s="156">
        <v>1010</v>
      </c>
      <c r="AI56" s="156"/>
      <c r="AJ56" s="156">
        <v>0</v>
      </c>
      <c r="AK56" s="156">
        <f t="shared" si="2"/>
        <v>56649</v>
      </c>
      <c r="AL56" s="156">
        <v>0</v>
      </c>
      <c r="AM56" s="156">
        <v>0</v>
      </c>
      <c r="AN56" s="156">
        <v>3092</v>
      </c>
      <c r="AO56" s="156">
        <v>1064</v>
      </c>
      <c r="AP56" s="156">
        <v>32155</v>
      </c>
      <c r="AQ56" s="156">
        <v>2468</v>
      </c>
      <c r="AR56" s="156">
        <f t="shared" si="3"/>
        <v>38779</v>
      </c>
      <c r="AS56" s="156">
        <v>69277</v>
      </c>
      <c r="AT56" s="156">
        <v>0</v>
      </c>
      <c r="AU56" s="156">
        <v>5568</v>
      </c>
      <c r="AV56" s="156">
        <v>0</v>
      </c>
      <c r="AW56" s="156"/>
      <c r="AX56" s="156">
        <v>0</v>
      </c>
      <c r="AY56" s="156">
        <v>15627</v>
      </c>
      <c r="AZ56" s="156">
        <v>0</v>
      </c>
      <c r="BA56" s="156">
        <f t="shared" si="4"/>
        <v>90472</v>
      </c>
      <c r="BB56" s="156"/>
      <c r="BC56" s="156"/>
      <c r="BD56" s="156"/>
      <c r="BE56" s="156">
        <f t="shared" si="5"/>
        <v>0</v>
      </c>
      <c r="BF56" s="156">
        <v>0</v>
      </c>
      <c r="BG56" s="156">
        <f t="shared" si="6"/>
        <v>1076465.07</v>
      </c>
      <c r="DD56" s="175"/>
      <c r="DE56" s="126" t="s">
        <v>33</v>
      </c>
      <c r="DF56" s="126" t="s">
        <v>33</v>
      </c>
      <c r="DG56" s="126" t="s">
        <v>33</v>
      </c>
      <c r="DH56" s="126" t="s">
        <v>33</v>
      </c>
      <c r="DI56" s="176"/>
      <c r="DJ56" s="126" t="s">
        <v>33</v>
      </c>
      <c r="DK56" s="126" t="s">
        <v>33</v>
      </c>
      <c r="DL56" s="126" t="s">
        <v>33</v>
      </c>
      <c r="DM56" s="126" t="s">
        <v>33</v>
      </c>
      <c r="DN56" s="126" t="s">
        <v>33</v>
      </c>
      <c r="DO56" s="126" t="s">
        <v>33</v>
      </c>
      <c r="DP56" s="126" t="s">
        <v>33</v>
      </c>
      <c r="DQ56" s="126" t="s">
        <v>33</v>
      </c>
      <c r="DR56" s="161"/>
      <c r="DS56" s="126" t="s">
        <v>33</v>
      </c>
      <c r="DT56" s="122">
        <f t="shared" si="7"/>
        <v>0</v>
      </c>
    </row>
    <row r="57" spans="1:124" ht="12">
      <c r="A57" s="128" t="s">
        <v>486</v>
      </c>
      <c r="B57" s="128">
        <v>2085</v>
      </c>
      <c r="C57" s="156"/>
      <c r="D57" s="172">
        <v>20</v>
      </c>
      <c r="E57" s="172">
        <v>55</v>
      </c>
      <c r="F57" s="172">
        <v>52</v>
      </c>
      <c r="G57" s="172">
        <v>51</v>
      </c>
      <c r="H57" s="172">
        <v>57</v>
      </c>
      <c r="I57" s="172">
        <v>58</v>
      </c>
      <c r="J57" s="172">
        <v>54</v>
      </c>
      <c r="K57" s="172">
        <v>53</v>
      </c>
      <c r="L57" s="156"/>
      <c r="M57" s="156"/>
      <c r="N57" s="156"/>
      <c r="O57" s="156"/>
      <c r="P57" s="156"/>
      <c r="Q57" s="173">
        <v>10</v>
      </c>
      <c r="R57" s="157"/>
      <c r="S57" s="159"/>
      <c r="T57" s="172">
        <f t="shared" si="8"/>
        <v>410</v>
      </c>
      <c r="U57" s="156">
        <f t="shared" si="0"/>
        <v>751121.0300000001</v>
      </c>
      <c r="V57" s="156">
        <v>49064</v>
      </c>
      <c r="W57" s="156"/>
      <c r="X57" s="156">
        <v>10666</v>
      </c>
      <c r="Y57" s="156"/>
      <c r="Z57" s="156"/>
      <c r="AA57" s="156">
        <f t="shared" si="1"/>
        <v>59730</v>
      </c>
      <c r="AB57" s="156"/>
      <c r="AC57" s="160"/>
      <c r="AD57" s="156">
        <v>4779</v>
      </c>
      <c r="AE57" s="156"/>
      <c r="AF57" s="156">
        <v>50125</v>
      </c>
      <c r="AG57" s="156">
        <v>4384</v>
      </c>
      <c r="AH57" s="156">
        <v>7079</v>
      </c>
      <c r="AI57" s="156"/>
      <c r="AJ57" s="156">
        <v>20320</v>
      </c>
      <c r="AK57" s="156">
        <f t="shared" si="2"/>
        <v>86687</v>
      </c>
      <c r="AL57" s="156">
        <v>0</v>
      </c>
      <c r="AM57" s="156">
        <v>0</v>
      </c>
      <c r="AN57" s="156">
        <v>17970</v>
      </c>
      <c r="AO57" s="156">
        <v>1487</v>
      </c>
      <c r="AP57" s="156">
        <v>45513</v>
      </c>
      <c r="AQ57" s="156">
        <v>5756</v>
      </c>
      <c r="AR57" s="156">
        <f t="shared" si="3"/>
        <v>70726</v>
      </c>
      <c r="AS57" s="156">
        <v>69277</v>
      </c>
      <c r="AT57" s="156">
        <v>0</v>
      </c>
      <c r="AU57" s="156">
        <v>3248</v>
      </c>
      <c r="AV57" s="156">
        <v>0</v>
      </c>
      <c r="AW57" s="156"/>
      <c r="AX57" s="156">
        <v>0</v>
      </c>
      <c r="AY57" s="156">
        <v>12017</v>
      </c>
      <c r="AZ57" s="156">
        <v>0</v>
      </c>
      <c r="BA57" s="156">
        <f t="shared" si="4"/>
        <v>84542</v>
      </c>
      <c r="BB57" s="156"/>
      <c r="BC57" s="156"/>
      <c r="BD57" s="156"/>
      <c r="BE57" s="156">
        <f t="shared" si="5"/>
        <v>0</v>
      </c>
      <c r="BF57" s="156">
        <v>0</v>
      </c>
      <c r="BG57" s="156">
        <f t="shared" si="6"/>
        <v>1052806.0300000003</v>
      </c>
      <c r="DD57" s="175"/>
      <c r="DE57" s="126" t="s">
        <v>33</v>
      </c>
      <c r="DF57" s="126" t="s">
        <v>33</v>
      </c>
      <c r="DG57" s="126" t="s">
        <v>33</v>
      </c>
      <c r="DH57" s="126" t="s">
        <v>33</v>
      </c>
      <c r="DI57" s="176"/>
      <c r="DJ57" s="126" t="s">
        <v>33</v>
      </c>
      <c r="DK57" s="126" t="s">
        <v>33</v>
      </c>
      <c r="DL57" s="126" t="s">
        <v>33</v>
      </c>
      <c r="DM57" s="126" t="s">
        <v>33</v>
      </c>
      <c r="DN57" s="126" t="s">
        <v>33</v>
      </c>
      <c r="DO57" s="126" t="s">
        <v>33</v>
      </c>
      <c r="DP57" s="126" t="s">
        <v>33</v>
      </c>
      <c r="DQ57" s="126" t="s">
        <v>33</v>
      </c>
      <c r="DR57" s="161"/>
      <c r="DS57" s="126" t="s">
        <v>33</v>
      </c>
      <c r="DT57" s="122">
        <f t="shared" si="7"/>
        <v>0</v>
      </c>
    </row>
    <row r="58" spans="1:124" ht="12">
      <c r="A58" s="128" t="s">
        <v>487</v>
      </c>
      <c r="B58" s="128">
        <v>2017</v>
      </c>
      <c r="C58" s="156"/>
      <c r="D58" s="172">
        <v>0</v>
      </c>
      <c r="E58" s="172">
        <v>0</v>
      </c>
      <c r="F58" s="172">
        <v>0</v>
      </c>
      <c r="G58" s="172">
        <v>0</v>
      </c>
      <c r="H58" s="172">
        <v>90</v>
      </c>
      <c r="I58" s="172">
        <v>90</v>
      </c>
      <c r="J58" s="172">
        <v>90</v>
      </c>
      <c r="K58" s="172">
        <v>90</v>
      </c>
      <c r="L58" s="156"/>
      <c r="M58" s="156"/>
      <c r="N58" s="156"/>
      <c r="O58" s="156"/>
      <c r="P58" s="156"/>
      <c r="Q58" s="173">
        <v>0</v>
      </c>
      <c r="R58" s="157"/>
      <c r="S58" s="159"/>
      <c r="T58" s="172">
        <f t="shared" si="8"/>
        <v>360</v>
      </c>
      <c r="U58" s="156">
        <f t="shared" si="0"/>
        <v>678780.9</v>
      </c>
      <c r="V58" s="156">
        <v>0</v>
      </c>
      <c r="W58" s="156"/>
      <c r="X58" s="156">
        <v>0</v>
      </c>
      <c r="Y58" s="156"/>
      <c r="Z58" s="156"/>
      <c r="AA58" s="156">
        <f t="shared" si="1"/>
        <v>0</v>
      </c>
      <c r="AB58" s="156"/>
      <c r="AC58" s="160"/>
      <c r="AD58" s="156">
        <v>38419</v>
      </c>
      <c r="AE58" s="156"/>
      <c r="AF58" s="156">
        <v>6814</v>
      </c>
      <c r="AG58" s="156">
        <v>596</v>
      </c>
      <c r="AH58" s="156">
        <v>1770</v>
      </c>
      <c r="AI58" s="156"/>
      <c r="AJ58" s="156">
        <v>0</v>
      </c>
      <c r="AK58" s="156">
        <f t="shared" si="2"/>
        <v>47599</v>
      </c>
      <c r="AL58" s="156">
        <v>0</v>
      </c>
      <c r="AM58" s="156">
        <v>0</v>
      </c>
      <c r="AN58" s="156">
        <v>14289</v>
      </c>
      <c r="AO58" s="156">
        <v>842</v>
      </c>
      <c r="AP58" s="156">
        <v>28405</v>
      </c>
      <c r="AQ58" s="156">
        <v>5342</v>
      </c>
      <c r="AR58" s="156">
        <f t="shared" si="3"/>
        <v>48878</v>
      </c>
      <c r="AS58" s="156">
        <v>68642</v>
      </c>
      <c r="AT58" s="156">
        <v>0</v>
      </c>
      <c r="AU58" s="156">
        <v>5264</v>
      </c>
      <c r="AV58" s="156">
        <v>0</v>
      </c>
      <c r="AW58" s="156"/>
      <c r="AX58" s="156">
        <v>0</v>
      </c>
      <c r="AY58" s="156">
        <v>11204</v>
      </c>
      <c r="AZ58" s="156">
        <v>0</v>
      </c>
      <c r="BA58" s="156">
        <f t="shared" si="4"/>
        <v>85110</v>
      </c>
      <c r="BB58" s="156"/>
      <c r="BC58" s="156"/>
      <c r="BD58" s="156"/>
      <c r="BE58" s="156">
        <f t="shared" si="5"/>
        <v>0</v>
      </c>
      <c r="BF58" s="156">
        <v>0</v>
      </c>
      <c r="BG58" s="156">
        <f t="shared" si="6"/>
        <v>860367.9</v>
      </c>
      <c r="DD58" s="175"/>
      <c r="DE58" s="126" t="s">
        <v>33</v>
      </c>
      <c r="DF58" s="126" t="s">
        <v>33</v>
      </c>
      <c r="DG58" s="126" t="s">
        <v>33</v>
      </c>
      <c r="DH58" s="126" t="s">
        <v>33</v>
      </c>
      <c r="DI58" s="176"/>
      <c r="DJ58" s="126" t="s">
        <v>33</v>
      </c>
      <c r="DK58" s="126" t="s">
        <v>33</v>
      </c>
      <c r="DL58" s="126" t="s">
        <v>33</v>
      </c>
      <c r="DM58" s="126" t="s">
        <v>33</v>
      </c>
      <c r="DN58" s="126" t="s">
        <v>33</v>
      </c>
      <c r="DO58" s="126" t="s">
        <v>33</v>
      </c>
      <c r="DP58" s="126" t="s">
        <v>33</v>
      </c>
      <c r="DQ58" s="126" t="s">
        <v>33</v>
      </c>
      <c r="DR58" s="161"/>
      <c r="DS58" s="126" t="s">
        <v>33</v>
      </c>
      <c r="DT58" s="122">
        <f t="shared" si="7"/>
        <v>0</v>
      </c>
    </row>
    <row r="59" spans="1:124" ht="12">
      <c r="A59" s="128" t="s">
        <v>488</v>
      </c>
      <c r="B59" s="128">
        <v>2019</v>
      </c>
      <c r="C59" s="156"/>
      <c r="D59" s="172">
        <v>0</v>
      </c>
      <c r="E59" s="172">
        <v>0</v>
      </c>
      <c r="F59" s="172">
        <v>0</v>
      </c>
      <c r="G59" s="172">
        <v>0</v>
      </c>
      <c r="H59" s="172">
        <v>64</v>
      </c>
      <c r="I59" s="172">
        <v>65</v>
      </c>
      <c r="J59" s="172">
        <v>66</v>
      </c>
      <c r="K59" s="172">
        <v>87</v>
      </c>
      <c r="L59" s="156"/>
      <c r="M59" s="156"/>
      <c r="N59" s="156"/>
      <c r="O59" s="156"/>
      <c r="P59" s="156"/>
      <c r="Q59" s="173">
        <v>0</v>
      </c>
      <c r="R59" s="157"/>
      <c r="S59" s="159"/>
      <c r="T59" s="172">
        <f t="shared" si="8"/>
        <v>282</v>
      </c>
      <c r="U59" s="156">
        <f t="shared" si="0"/>
        <v>531240.78</v>
      </c>
      <c r="V59" s="156">
        <v>0</v>
      </c>
      <c r="W59" s="156"/>
      <c r="X59" s="156">
        <v>0</v>
      </c>
      <c r="Y59" s="156"/>
      <c r="Z59" s="156"/>
      <c r="AA59" s="156">
        <f t="shared" si="1"/>
        <v>0</v>
      </c>
      <c r="AB59" s="156"/>
      <c r="AC59" s="160"/>
      <c r="AD59" s="156">
        <v>13380</v>
      </c>
      <c r="AE59" s="156"/>
      <c r="AF59" s="156">
        <v>6774</v>
      </c>
      <c r="AG59" s="156">
        <v>593</v>
      </c>
      <c r="AH59" s="156">
        <v>3413</v>
      </c>
      <c r="AI59" s="156"/>
      <c r="AJ59" s="156">
        <v>0</v>
      </c>
      <c r="AK59" s="156">
        <f t="shared" si="2"/>
        <v>24160</v>
      </c>
      <c r="AL59" s="156">
        <v>0</v>
      </c>
      <c r="AM59" s="156">
        <v>0</v>
      </c>
      <c r="AN59" s="156">
        <v>10392</v>
      </c>
      <c r="AO59" s="156">
        <v>1403</v>
      </c>
      <c r="AP59" s="156">
        <v>29215</v>
      </c>
      <c r="AQ59" s="156">
        <v>5214</v>
      </c>
      <c r="AR59" s="156">
        <f t="shared" si="3"/>
        <v>46224</v>
      </c>
      <c r="AS59" s="156">
        <v>68642</v>
      </c>
      <c r="AT59" s="156">
        <v>0</v>
      </c>
      <c r="AU59" s="156">
        <v>2320</v>
      </c>
      <c r="AV59" s="156">
        <v>0</v>
      </c>
      <c r="AW59" s="156"/>
      <c r="AX59" s="156">
        <v>0</v>
      </c>
      <c r="AY59" s="156">
        <v>7378</v>
      </c>
      <c r="AZ59" s="156">
        <v>0</v>
      </c>
      <c r="BA59" s="156">
        <f t="shared" si="4"/>
        <v>78340</v>
      </c>
      <c r="BB59" s="156"/>
      <c r="BC59" s="156"/>
      <c r="BD59" s="156"/>
      <c r="BE59" s="156">
        <f t="shared" si="5"/>
        <v>0</v>
      </c>
      <c r="BF59" s="156">
        <v>0</v>
      </c>
      <c r="BG59" s="156">
        <f t="shared" si="6"/>
        <v>679964.78</v>
      </c>
      <c r="DD59" s="175"/>
      <c r="DE59" s="126" t="s">
        <v>33</v>
      </c>
      <c r="DF59" s="126" t="s">
        <v>33</v>
      </c>
      <c r="DG59" s="126" t="s">
        <v>33</v>
      </c>
      <c r="DH59" s="126" t="s">
        <v>33</v>
      </c>
      <c r="DI59" s="176"/>
      <c r="DJ59" s="126" t="s">
        <v>33</v>
      </c>
      <c r="DK59" s="126" t="s">
        <v>33</v>
      </c>
      <c r="DL59" s="126" t="s">
        <v>33</v>
      </c>
      <c r="DM59" s="126" t="s">
        <v>33</v>
      </c>
      <c r="DN59" s="126" t="s">
        <v>33</v>
      </c>
      <c r="DO59" s="126" t="s">
        <v>33</v>
      </c>
      <c r="DP59" s="126" t="s">
        <v>33</v>
      </c>
      <c r="DQ59" s="126" t="s">
        <v>33</v>
      </c>
      <c r="DR59" s="161"/>
      <c r="DS59" s="126" t="s">
        <v>33</v>
      </c>
      <c r="DT59" s="122">
        <f t="shared" si="7"/>
        <v>0</v>
      </c>
    </row>
    <row r="60" spans="1:124" ht="12">
      <c r="A60" s="128" t="s">
        <v>489</v>
      </c>
      <c r="B60" s="128">
        <v>3302</v>
      </c>
      <c r="C60" s="156"/>
      <c r="D60" s="172">
        <v>30</v>
      </c>
      <c r="E60" s="172">
        <v>74</v>
      </c>
      <c r="F60" s="172">
        <v>73</v>
      </c>
      <c r="G60" s="172">
        <v>74</v>
      </c>
      <c r="H60" s="172">
        <v>0</v>
      </c>
      <c r="I60" s="172">
        <v>0</v>
      </c>
      <c r="J60" s="172">
        <v>0</v>
      </c>
      <c r="K60" s="172">
        <v>0</v>
      </c>
      <c r="L60" s="156"/>
      <c r="M60" s="156"/>
      <c r="N60" s="156"/>
      <c r="O60" s="156"/>
      <c r="P60" s="156"/>
      <c r="Q60" s="173">
        <v>0</v>
      </c>
      <c r="R60" s="157"/>
      <c r="S60" s="159"/>
      <c r="T60" s="172">
        <f t="shared" si="8"/>
        <v>251</v>
      </c>
      <c r="U60" s="156">
        <f t="shared" si="0"/>
        <v>464474.38</v>
      </c>
      <c r="V60" s="156">
        <v>66129</v>
      </c>
      <c r="W60" s="156"/>
      <c r="X60" s="156">
        <v>17066</v>
      </c>
      <c r="Y60" s="156"/>
      <c r="Z60" s="156"/>
      <c r="AA60" s="156">
        <f t="shared" si="1"/>
        <v>83195</v>
      </c>
      <c r="AB60" s="156"/>
      <c r="AC60" s="160"/>
      <c r="AD60" s="156">
        <v>11468</v>
      </c>
      <c r="AE60" s="156"/>
      <c r="AF60" s="156">
        <v>10514</v>
      </c>
      <c r="AG60" s="156">
        <v>920</v>
      </c>
      <c r="AH60" s="156">
        <v>379</v>
      </c>
      <c r="AI60" s="156"/>
      <c r="AJ60" s="156">
        <v>0</v>
      </c>
      <c r="AK60" s="156">
        <f t="shared" si="2"/>
        <v>23281</v>
      </c>
      <c r="AL60" s="156">
        <v>0</v>
      </c>
      <c r="AM60" s="156">
        <v>0</v>
      </c>
      <c r="AN60" s="156">
        <v>1645</v>
      </c>
      <c r="AO60" s="156">
        <v>1056</v>
      </c>
      <c r="AP60" s="156">
        <v>22687</v>
      </c>
      <c r="AQ60" s="156">
        <v>1062</v>
      </c>
      <c r="AR60" s="156">
        <f t="shared" si="3"/>
        <v>26450</v>
      </c>
      <c r="AS60" s="156">
        <v>69277</v>
      </c>
      <c r="AT60" s="156">
        <v>0</v>
      </c>
      <c r="AU60" s="156">
        <v>6384</v>
      </c>
      <c r="AV60" s="156">
        <v>0</v>
      </c>
      <c r="AW60" s="156"/>
      <c r="AX60" s="156">
        <v>0</v>
      </c>
      <c r="AY60" s="156">
        <v>8076</v>
      </c>
      <c r="AZ60" s="156">
        <v>0</v>
      </c>
      <c r="BA60" s="156">
        <f t="shared" si="4"/>
        <v>83737</v>
      </c>
      <c r="BB60" s="156"/>
      <c r="BC60" s="156"/>
      <c r="BD60" s="156"/>
      <c r="BE60" s="156">
        <f t="shared" si="5"/>
        <v>0</v>
      </c>
      <c r="BF60" s="156">
        <v>0</v>
      </c>
      <c r="BG60" s="156">
        <f t="shared" si="6"/>
        <v>681137.38</v>
      </c>
      <c r="DD60" s="175"/>
      <c r="DE60" s="126" t="s">
        <v>33</v>
      </c>
      <c r="DF60" s="126" t="s">
        <v>33</v>
      </c>
      <c r="DG60" s="126" t="s">
        <v>33</v>
      </c>
      <c r="DH60" s="126" t="s">
        <v>33</v>
      </c>
      <c r="DI60" s="176"/>
      <c r="DJ60" s="126" t="s">
        <v>33</v>
      </c>
      <c r="DK60" s="126" t="s">
        <v>33</v>
      </c>
      <c r="DL60" s="126" t="s">
        <v>33</v>
      </c>
      <c r="DM60" s="126" t="s">
        <v>33</v>
      </c>
      <c r="DN60" s="126" t="s">
        <v>33</v>
      </c>
      <c r="DO60" s="126" t="s">
        <v>33</v>
      </c>
      <c r="DP60" s="126" t="s">
        <v>33</v>
      </c>
      <c r="DQ60" s="126" t="s">
        <v>33</v>
      </c>
      <c r="DR60" s="161"/>
      <c r="DS60" s="126" t="s">
        <v>33</v>
      </c>
      <c r="DT60" s="122">
        <f t="shared" si="7"/>
        <v>0</v>
      </c>
    </row>
    <row r="61" spans="1:124" ht="12">
      <c r="A61" s="128" t="s">
        <v>490</v>
      </c>
      <c r="B61" s="128">
        <v>3305</v>
      </c>
      <c r="C61" s="156"/>
      <c r="D61" s="172">
        <v>0</v>
      </c>
      <c r="E61" s="172">
        <v>0</v>
      </c>
      <c r="F61" s="172">
        <v>0</v>
      </c>
      <c r="G61" s="172">
        <v>0</v>
      </c>
      <c r="H61" s="172">
        <v>70</v>
      </c>
      <c r="I61" s="172">
        <v>70</v>
      </c>
      <c r="J61" s="172">
        <v>70</v>
      </c>
      <c r="K61" s="172">
        <v>74</v>
      </c>
      <c r="L61" s="156"/>
      <c r="M61" s="156"/>
      <c r="N61" s="156"/>
      <c r="O61" s="156"/>
      <c r="P61" s="156"/>
      <c r="Q61" s="173">
        <v>0</v>
      </c>
      <c r="R61" s="157"/>
      <c r="S61" s="159"/>
      <c r="T61" s="172">
        <f t="shared" si="8"/>
        <v>284</v>
      </c>
      <c r="U61" s="156">
        <f t="shared" si="0"/>
        <v>535410.26</v>
      </c>
      <c r="V61" s="156">
        <v>0</v>
      </c>
      <c r="W61" s="156"/>
      <c r="X61" s="156">
        <v>0</v>
      </c>
      <c r="Y61" s="156"/>
      <c r="Z61" s="156"/>
      <c r="AA61" s="156">
        <f t="shared" si="1"/>
        <v>0</v>
      </c>
      <c r="AB61" s="156"/>
      <c r="AC61" s="160"/>
      <c r="AD61" s="156">
        <v>18158</v>
      </c>
      <c r="AE61" s="156"/>
      <c r="AF61" s="156">
        <v>5156</v>
      </c>
      <c r="AG61" s="156">
        <v>451</v>
      </c>
      <c r="AH61" s="156">
        <v>506</v>
      </c>
      <c r="AI61" s="156"/>
      <c r="AJ61" s="156">
        <v>0</v>
      </c>
      <c r="AK61" s="156">
        <f t="shared" si="2"/>
        <v>24271</v>
      </c>
      <c r="AL61" s="156">
        <v>0</v>
      </c>
      <c r="AM61" s="156">
        <v>0</v>
      </c>
      <c r="AN61" s="156">
        <v>1957</v>
      </c>
      <c r="AO61" s="156">
        <v>0</v>
      </c>
      <c r="AP61" s="156">
        <v>23961</v>
      </c>
      <c r="AQ61" s="156">
        <v>3740</v>
      </c>
      <c r="AR61" s="156">
        <f t="shared" si="3"/>
        <v>29658</v>
      </c>
      <c r="AS61" s="156">
        <v>68642</v>
      </c>
      <c r="AT61" s="156">
        <v>0</v>
      </c>
      <c r="AU61" s="156">
        <v>4224</v>
      </c>
      <c r="AV61" s="156">
        <v>0</v>
      </c>
      <c r="AW61" s="156"/>
      <c r="AX61" s="156">
        <v>0</v>
      </c>
      <c r="AY61" s="156">
        <v>4939</v>
      </c>
      <c r="AZ61" s="156">
        <v>0</v>
      </c>
      <c r="BA61" s="156">
        <f t="shared" si="4"/>
        <v>77805</v>
      </c>
      <c r="BB61" s="156"/>
      <c r="BC61" s="156"/>
      <c r="BD61" s="156"/>
      <c r="BE61" s="156">
        <f t="shared" si="5"/>
        <v>0</v>
      </c>
      <c r="BF61" s="156">
        <v>0</v>
      </c>
      <c r="BG61" s="156">
        <f t="shared" si="6"/>
        <v>667144.26</v>
      </c>
      <c r="DD61" s="175"/>
      <c r="DE61" s="126" t="s">
        <v>33</v>
      </c>
      <c r="DF61" s="126" t="s">
        <v>33</v>
      </c>
      <c r="DG61" s="126" t="s">
        <v>33</v>
      </c>
      <c r="DH61" s="126" t="s">
        <v>33</v>
      </c>
      <c r="DI61" s="176"/>
      <c r="DJ61" s="126" t="s">
        <v>33</v>
      </c>
      <c r="DK61" s="126" t="s">
        <v>33</v>
      </c>
      <c r="DL61" s="126" t="s">
        <v>33</v>
      </c>
      <c r="DM61" s="126" t="s">
        <v>33</v>
      </c>
      <c r="DN61" s="126" t="s">
        <v>33</v>
      </c>
      <c r="DO61" s="126" t="s">
        <v>33</v>
      </c>
      <c r="DP61" s="126" t="s">
        <v>33</v>
      </c>
      <c r="DQ61" s="126" t="s">
        <v>33</v>
      </c>
      <c r="DR61" s="161"/>
      <c r="DS61" s="126" t="s">
        <v>33</v>
      </c>
      <c r="DT61" s="122">
        <f t="shared" si="7"/>
        <v>0</v>
      </c>
    </row>
    <row r="62" spans="1:124" ht="12">
      <c r="A62" s="128" t="s">
        <v>491</v>
      </c>
      <c r="B62" s="128">
        <v>3501</v>
      </c>
      <c r="C62" s="156"/>
      <c r="D62" s="172">
        <v>15</v>
      </c>
      <c r="E62" s="172">
        <v>27</v>
      </c>
      <c r="F62" s="172">
        <v>29</v>
      </c>
      <c r="G62" s="172">
        <v>29</v>
      </c>
      <c r="H62" s="172">
        <v>28</v>
      </c>
      <c r="I62" s="172">
        <v>30</v>
      </c>
      <c r="J62" s="172">
        <v>31</v>
      </c>
      <c r="K62" s="172">
        <v>30</v>
      </c>
      <c r="L62" s="156"/>
      <c r="M62" s="156"/>
      <c r="N62" s="156"/>
      <c r="O62" s="156"/>
      <c r="P62" s="156"/>
      <c r="Q62" s="173">
        <v>0</v>
      </c>
      <c r="R62" s="157"/>
      <c r="S62" s="159"/>
      <c r="T62" s="172">
        <f t="shared" si="8"/>
        <v>219</v>
      </c>
      <c r="U62" s="156">
        <f t="shared" si="0"/>
        <v>403848.80000000005</v>
      </c>
      <c r="V62" s="156">
        <v>33065</v>
      </c>
      <c r="W62" s="156"/>
      <c r="X62" s="156">
        <v>3200</v>
      </c>
      <c r="Y62" s="156"/>
      <c r="Z62" s="156"/>
      <c r="AA62" s="156">
        <f t="shared" si="1"/>
        <v>36265</v>
      </c>
      <c r="AB62" s="156"/>
      <c r="AC62" s="160"/>
      <c r="AD62" s="156">
        <v>12424</v>
      </c>
      <c r="AE62" s="156"/>
      <c r="AF62" s="156">
        <v>1708</v>
      </c>
      <c r="AG62" s="156">
        <v>149</v>
      </c>
      <c r="AH62" s="156">
        <v>885</v>
      </c>
      <c r="AI62" s="156"/>
      <c r="AJ62" s="156">
        <v>0</v>
      </c>
      <c r="AK62" s="156">
        <f t="shared" si="2"/>
        <v>15166</v>
      </c>
      <c r="AL62" s="156">
        <v>0</v>
      </c>
      <c r="AM62" s="156">
        <v>0</v>
      </c>
      <c r="AN62" s="156">
        <v>1645</v>
      </c>
      <c r="AO62" s="156">
        <v>653</v>
      </c>
      <c r="AP62" s="156">
        <v>21876</v>
      </c>
      <c r="AQ62" s="156">
        <v>2587</v>
      </c>
      <c r="AR62" s="156">
        <f t="shared" si="3"/>
        <v>26761</v>
      </c>
      <c r="AS62" s="156">
        <v>69277</v>
      </c>
      <c r="AT62" s="156">
        <v>0</v>
      </c>
      <c r="AU62" s="156">
        <v>2080</v>
      </c>
      <c r="AV62" s="156">
        <v>19529</v>
      </c>
      <c r="AW62" s="156"/>
      <c r="AX62" s="156">
        <v>0</v>
      </c>
      <c r="AY62" s="156">
        <v>4769</v>
      </c>
      <c r="AZ62" s="156">
        <v>0</v>
      </c>
      <c r="BA62" s="156">
        <f t="shared" si="4"/>
        <v>95655</v>
      </c>
      <c r="BB62" s="156"/>
      <c r="BC62" s="156"/>
      <c r="BD62" s="156"/>
      <c r="BE62" s="156">
        <f t="shared" si="5"/>
        <v>0</v>
      </c>
      <c r="BF62" s="156">
        <v>0</v>
      </c>
      <c r="BG62" s="156">
        <f t="shared" si="6"/>
        <v>577695.8</v>
      </c>
      <c r="DD62" s="175"/>
      <c r="DE62" s="126" t="s">
        <v>33</v>
      </c>
      <c r="DF62" s="126" t="s">
        <v>33</v>
      </c>
      <c r="DG62" s="126" t="s">
        <v>33</v>
      </c>
      <c r="DH62" s="126" t="s">
        <v>33</v>
      </c>
      <c r="DI62" s="176"/>
      <c r="DJ62" s="126" t="s">
        <v>33</v>
      </c>
      <c r="DK62" s="126" t="s">
        <v>33</v>
      </c>
      <c r="DL62" s="126" t="s">
        <v>33</v>
      </c>
      <c r="DM62" s="126" t="s">
        <v>33</v>
      </c>
      <c r="DN62" s="126" t="s">
        <v>33</v>
      </c>
      <c r="DO62" s="126" t="s">
        <v>33</v>
      </c>
      <c r="DP62" s="126" t="s">
        <v>33</v>
      </c>
      <c r="DQ62" s="126" t="s">
        <v>33</v>
      </c>
      <c r="DR62" s="161"/>
      <c r="DS62" s="126" t="s">
        <v>33</v>
      </c>
      <c r="DT62" s="122">
        <f t="shared" si="7"/>
        <v>0</v>
      </c>
    </row>
    <row r="63" spans="1:124" ht="12">
      <c r="A63" s="128" t="s">
        <v>492</v>
      </c>
      <c r="B63" s="128">
        <v>3511</v>
      </c>
      <c r="C63" s="156"/>
      <c r="D63" s="172">
        <v>15</v>
      </c>
      <c r="E63" s="172">
        <v>44</v>
      </c>
      <c r="F63" s="172">
        <v>40</v>
      </c>
      <c r="G63" s="172">
        <v>43</v>
      </c>
      <c r="H63" s="172">
        <v>36</v>
      </c>
      <c r="I63" s="172">
        <v>52</v>
      </c>
      <c r="J63" s="172">
        <v>44</v>
      </c>
      <c r="K63" s="172">
        <v>44</v>
      </c>
      <c r="L63" s="156"/>
      <c r="M63" s="156"/>
      <c r="N63" s="156"/>
      <c r="O63" s="156"/>
      <c r="P63" s="156"/>
      <c r="Q63" s="173">
        <v>0</v>
      </c>
      <c r="R63" s="157"/>
      <c r="S63" s="159"/>
      <c r="T63" s="172">
        <f t="shared" si="8"/>
        <v>318</v>
      </c>
      <c r="U63" s="156">
        <f t="shared" si="0"/>
        <v>597837.27</v>
      </c>
      <c r="V63" s="156">
        <v>33065</v>
      </c>
      <c r="W63" s="156"/>
      <c r="X63" s="156">
        <v>17066</v>
      </c>
      <c r="Y63" s="156"/>
      <c r="Z63" s="156"/>
      <c r="AA63" s="156">
        <f t="shared" si="1"/>
        <v>50131</v>
      </c>
      <c r="AB63" s="156"/>
      <c r="AC63" s="160"/>
      <c r="AD63" s="156">
        <v>23893</v>
      </c>
      <c r="AE63" s="156"/>
      <c r="AF63" s="156">
        <v>22241</v>
      </c>
      <c r="AG63" s="156">
        <v>1946</v>
      </c>
      <c r="AH63" s="156">
        <v>5941</v>
      </c>
      <c r="AI63" s="156"/>
      <c r="AJ63" s="156">
        <v>0</v>
      </c>
      <c r="AK63" s="156">
        <f t="shared" si="2"/>
        <v>54021</v>
      </c>
      <c r="AL63" s="156">
        <v>0</v>
      </c>
      <c r="AM63" s="156">
        <v>0</v>
      </c>
      <c r="AN63" s="156">
        <v>2425</v>
      </c>
      <c r="AO63" s="156">
        <v>986</v>
      </c>
      <c r="AP63" s="156">
        <v>35720</v>
      </c>
      <c r="AQ63" s="156">
        <v>4707</v>
      </c>
      <c r="AR63" s="156">
        <f t="shared" si="3"/>
        <v>43838</v>
      </c>
      <c r="AS63" s="156">
        <v>69277</v>
      </c>
      <c r="AT63" s="156">
        <v>0</v>
      </c>
      <c r="AU63" s="156">
        <v>3088</v>
      </c>
      <c r="AV63" s="156">
        <v>0</v>
      </c>
      <c r="AW63" s="156"/>
      <c r="AX63" s="156">
        <v>0</v>
      </c>
      <c r="AY63" s="156">
        <v>6424</v>
      </c>
      <c r="AZ63" s="156">
        <v>0</v>
      </c>
      <c r="BA63" s="156">
        <f t="shared" si="4"/>
        <v>78789</v>
      </c>
      <c r="BB63" s="156"/>
      <c r="BC63" s="156"/>
      <c r="BD63" s="156"/>
      <c r="BE63" s="156">
        <f t="shared" si="5"/>
        <v>0</v>
      </c>
      <c r="BF63" s="156">
        <v>0</v>
      </c>
      <c r="BG63" s="156">
        <f t="shared" si="6"/>
        <v>824616.27</v>
      </c>
      <c r="DD63" s="175"/>
      <c r="DE63" s="126" t="s">
        <v>33</v>
      </c>
      <c r="DF63" s="126" t="s">
        <v>33</v>
      </c>
      <c r="DG63" s="126" t="s">
        <v>33</v>
      </c>
      <c r="DH63" s="126" t="s">
        <v>33</v>
      </c>
      <c r="DI63" s="176"/>
      <c r="DJ63" s="126" t="s">
        <v>33</v>
      </c>
      <c r="DK63" s="126" t="s">
        <v>33</v>
      </c>
      <c r="DL63" s="126" t="s">
        <v>33</v>
      </c>
      <c r="DM63" s="126" t="s">
        <v>33</v>
      </c>
      <c r="DN63" s="126" t="s">
        <v>33</v>
      </c>
      <c r="DO63" s="126" t="s">
        <v>33</v>
      </c>
      <c r="DP63" s="126" t="s">
        <v>33</v>
      </c>
      <c r="DQ63" s="126" t="s">
        <v>33</v>
      </c>
      <c r="DR63" s="161"/>
      <c r="DS63" s="126" t="s">
        <v>33</v>
      </c>
      <c r="DT63" s="122">
        <f t="shared" si="7"/>
        <v>0</v>
      </c>
    </row>
    <row r="64" spans="1:124" ht="12">
      <c r="A64" s="128" t="s">
        <v>493</v>
      </c>
      <c r="B64" s="128">
        <v>3510</v>
      </c>
      <c r="C64" s="156"/>
      <c r="D64" s="172">
        <v>15</v>
      </c>
      <c r="E64" s="172">
        <v>30</v>
      </c>
      <c r="F64" s="172">
        <v>30</v>
      </c>
      <c r="G64" s="172">
        <v>27</v>
      </c>
      <c r="H64" s="172">
        <v>29</v>
      </c>
      <c r="I64" s="172">
        <v>22</v>
      </c>
      <c r="J64" s="172">
        <v>30</v>
      </c>
      <c r="K64" s="172">
        <v>30</v>
      </c>
      <c r="L64" s="156"/>
      <c r="M64" s="156"/>
      <c r="N64" s="156"/>
      <c r="O64" s="156"/>
      <c r="P64" s="156"/>
      <c r="Q64" s="173">
        <v>0</v>
      </c>
      <c r="R64" s="157"/>
      <c r="S64" s="159"/>
      <c r="T64" s="172">
        <f t="shared" si="8"/>
        <v>213</v>
      </c>
      <c r="U64" s="156">
        <f t="shared" si="0"/>
        <v>394250.49000000005</v>
      </c>
      <c r="V64" s="156">
        <v>33065</v>
      </c>
      <c r="W64" s="156"/>
      <c r="X64" s="156">
        <v>0</v>
      </c>
      <c r="Y64" s="156"/>
      <c r="Z64" s="156"/>
      <c r="AA64" s="156">
        <f t="shared" si="1"/>
        <v>33065</v>
      </c>
      <c r="AB64" s="156"/>
      <c r="AC64" s="160"/>
      <c r="AD64" s="156">
        <v>6690</v>
      </c>
      <c r="AE64" s="156"/>
      <c r="AF64" s="156">
        <v>11377</v>
      </c>
      <c r="AG64" s="156">
        <v>995</v>
      </c>
      <c r="AH64" s="156">
        <v>6700</v>
      </c>
      <c r="AI64" s="156"/>
      <c r="AJ64" s="156">
        <v>0</v>
      </c>
      <c r="AK64" s="156">
        <f t="shared" si="2"/>
        <v>25762</v>
      </c>
      <c r="AL64" s="156">
        <v>0</v>
      </c>
      <c r="AM64" s="156">
        <v>0</v>
      </c>
      <c r="AN64" s="156">
        <v>1519</v>
      </c>
      <c r="AO64" s="156">
        <v>651</v>
      </c>
      <c r="AP64" s="156">
        <v>22547</v>
      </c>
      <c r="AQ64" s="156">
        <v>2145</v>
      </c>
      <c r="AR64" s="156">
        <f t="shared" si="3"/>
        <v>26862</v>
      </c>
      <c r="AS64" s="156">
        <v>69277</v>
      </c>
      <c r="AT64" s="156">
        <v>0</v>
      </c>
      <c r="AU64" s="156">
        <v>1840</v>
      </c>
      <c r="AV64" s="156">
        <v>21729</v>
      </c>
      <c r="AW64" s="156"/>
      <c r="AX64" s="156">
        <v>0</v>
      </c>
      <c r="AY64" s="156">
        <v>6638</v>
      </c>
      <c r="AZ64" s="156">
        <v>0</v>
      </c>
      <c r="BA64" s="156">
        <f t="shared" si="4"/>
        <v>99484</v>
      </c>
      <c r="BB64" s="156"/>
      <c r="BC64" s="156"/>
      <c r="BD64" s="156"/>
      <c r="BE64" s="156">
        <f t="shared" si="5"/>
        <v>0</v>
      </c>
      <c r="BF64" s="156">
        <v>0</v>
      </c>
      <c r="BG64" s="156">
        <f t="shared" si="6"/>
        <v>579423.49</v>
      </c>
      <c r="DD64" s="175"/>
      <c r="DE64" s="126" t="s">
        <v>33</v>
      </c>
      <c r="DF64" s="126" t="s">
        <v>33</v>
      </c>
      <c r="DG64" s="126" t="s">
        <v>33</v>
      </c>
      <c r="DH64" s="126" t="s">
        <v>33</v>
      </c>
      <c r="DI64" s="176"/>
      <c r="DJ64" s="126" t="s">
        <v>33</v>
      </c>
      <c r="DK64" s="126" t="s">
        <v>33</v>
      </c>
      <c r="DL64" s="126" t="s">
        <v>33</v>
      </c>
      <c r="DM64" s="126" t="s">
        <v>33</v>
      </c>
      <c r="DN64" s="126" t="s">
        <v>33</v>
      </c>
      <c r="DO64" s="126" t="s">
        <v>33</v>
      </c>
      <c r="DP64" s="126" t="s">
        <v>33</v>
      </c>
      <c r="DQ64" s="126" t="s">
        <v>33</v>
      </c>
      <c r="DR64" s="161"/>
      <c r="DS64" s="126" t="s">
        <v>33</v>
      </c>
      <c r="DT64" s="122">
        <f t="shared" si="7"/>
        <v>0</v>
      </c>
    </row>
    <row r="65" spans="1:124" ht="12">
      <c r="A65" s="128" t="s">
        <v>494</v>
      </c>
      <c r="B65" s="128">
        <v>3502</v>
      </c>
      <c r="C65" s="156"/>
      <c r="D65" s="172">
        <v>15</v>
      </c>
      <c r="E65" s="172">
        <v>30</v>
      </c>
      <c r="F65" s="172">
        <v>30</v>
      </c>
      <c r="G65" s="172">
        <v>30</v>
      </c>
      <c r="H65" s="172">
        <v>31</v>
      </c>
      <c r="I65" s="172">
        <v>32</v>
      </c>
      <c r="J65" s="172">
        <v>30</v>
      </c>
      <c r="K65" s="172">
        <v>30</v>
      </c>
      <c r="L65" s="156"/>
      <c r="M65" s="156"/>
      <c r="N65" s="156"/>
      <c r="O65" s="156"/>
      <c r="P65" s="156"/>
      <c r="Q65" s="173">
        <v>0</v>
      </c>
      <c r="R65" s="157"/>
      <c r="S65" s="159"/>
      <c r="T65" s="172">
        <f t="shared" si="8"/>
        <v>228</v>
      </c>
      <c r="U65" s="156">
        <f t="shared" si="0"/>
        <v>422391.27</v>
      </c>
      <c r="V65" s="156">
        <v>33065</v>
      </c>
      <c r="W65" s="156"/>
      <c r="X65" s="156">
        <v>0</v>
      </c>
      <c r="Y65" s="156"/>
      <c r="Z65" s="156"/>
      <c r="AA65" s="156">
        <f t="shared" si="1"/>
        <v>33065</v>
      </c>
      <c r="AB65" s="156"/>
      <c r="AC65" s="160"/>
      <c r="AD65" s="156">
        <v>0</v>
      </c>
      <c r="AE65" s="156"/>
      <c r="AF65" s="156">
        <v>1626</v>
      </c>
      <c r="AG65" s="156">
        <v>142</v>
      </c>
      <c r="AH65" s="156">
        <v>127</v>
      </c>
      <c r="AI65" s="156"/>
      <c r="AJ65" s="156">
        <v>0</v>
      </c>
      <c r="AK65" s="156">
        <f t="shared" si="2"/>
        <v>1895</v>
      </c>
      <c r="AL65" s="156">
        <v>0</v>
      </c>
      <c r="AM65" s="156">
        <v>0</v>
      </c>
      <c r="AN65" s="156">
        <v>3239</v>
      </c>
      <c r="AO65" s="156">
        <v>2520</v>
      </c>
      <c r="AP65" s="156">
        <v>23150</v>
      </c>
      <c r="AQ65" s="156">
        <v>3540</v>
      </c>
      <c r="AR65" s="156">
        <f t="shared" si="3"/>
        <v>32449</v>
      </c>
      <c r="AS65" s="156">
        <v>69277</v>
      </c>
      <c r="AT65" s="156">
        <v>0</v>
      </c>
      <c r="AU65" s="156">
        <v>3792</v>
      </c>
      <c r="AV65" s="156">
        <v>15915</v>
      </c>
      <c r="AW65" s="156"/>
      <c r="AX65" s="156">
        <v>0</v>
      </c>
      <c r="AY65" s="156">
        <v>5226</v>
      </c>
      <c r="AZ65" s="156">
        <v>0</v>
      </c>
      <c r="BA65" s="156">
        <f t="shared" si="4"/>
        <v>94210</v>
      </c>
      <c r="BB65" s="156"/>
      <c r="BC65" s="156"/>
      <c r="BD65" s="156"/>
      <c r="BE65" s="156">
        <f t="shared" si="5"/>
        <v>0</v>
      </c>
      <c r="BF65" s="156">
        <v>0</v>
      </c>
      <c r="BG65" s="156">
        <f t="shared" si="6"/>
        <v>584010.27</v>
      </c>
      <c r="DD65" s="175"/>
      <c r="DE65" s="126" t="s">
        <v>33</v>
      </c>
      <c r="DF65" s="126" t="s">
        <v>33</v>
      </c>
      <c r="DG65" s="126" t="s">
        <v>33</v>
      </c>
      <c r="DH65" s="126" t="s">
        <v>33</v>
      </c>
      <c r="DI65" s="176"/>
      <c r="DJ65" s="126" t="s">
        <v>33</v>
      </c>
      <c r="DK65" s="126" t="s">
        <v>33</v>
      </c>
      <c r="DL65" s="126" t="s">
        <v>33</v>
      </c>
      <c r="DM65" s="126" t="s">
        <v>33</v>
      </c>
      <c r="DN65" s="126" t="s">
        <v>33</v>
      </c>
      <c r="DO65" s="126" t="s">
        <v>33</v>
      </c>
      <c r="DP65" s="126" t="s">
        <v>33</v>
      </c>
      <c r="DQ65" s="126" t="s">
        <v>33</v>
      </c>
      <c r="DR65" s="161"/>
      <c r="DS65" s="126" t="s">
        <v>33</v>
      </c>
      <c r="DT65" s="122">
        <f t="shared" si="7"/>
        <v>0</v>
      </c>
    </row>
    <row r="66" spans="1:124" ht="12">
      <c r="A66" s="128" t="s">
        <v>495</v>
      </c>
      <c r="B66" s="128">
        <v>3503</v>
      </c>
      <c r="C66" s="156"/>
      <c r="D66" s="172">
        <v>10</v>
      </c>
      <c r="E66" s="172">
        <v>24</v>
      </c>
      <c r="F66" s="172">
        <v>23</v>
      </c>
      <c r="G66" s="172">
        <v>26</v>
      </c>
      <c r="H66" s="172">
        <v>30</v>
      </c>
      <c r="I66" s="172">
        <v>30</v>
      </c>
      <c r="J66" s="172">
        <v>29</v>
      </c>
      <c r="K66" s="172">
        <v>27</v>
      </c>
      <c r="L66" s="156"/>
      <c r="M66" s="156"/>
      <c r="N66" s="156"/>
      <c r="O66" s="156"/>
      <c r="P66" s="156"/>
      <c r="Q66" s="173">
        <v>0</v>
      </c>
      <c r="R66" s="157"/>
      <c r="S66" s="159"/>
      <c r="T66" s="172">
        <f t="shared" si="8"/>
        <v>199</v>
      </c>
      <c r="U66" s="156">
        <f t="shared" si="0"/>
        <v>372030.92000000004</v>
      </c>
      <c r="V66" s="156">
        <v>24533</v>
      </c>
      <c r="W66" s="156"/>
      <c r="X66" s="156">
        <v>11733</v>
      </c>
      <c r="Y66" s="156"/>
      <c r="Z66" s="156"/>
      <c r="AA66" s="156">
        <f t="shared" si="1"/>
        <v>36266</v>
      </c>
      <c r="AB66" s="156"/>
      <c r="AC66" s="160"/>
      <c r="AD66" s="156">
        <v>17967</v>
      </c>
      <c r="AE66" s="156"/>
      <c r="AF66" s="156">
        <v>5050</v>
      </c>
      <c r="AG66" s="156">
        <v>442</v>
      </c>
      <c r="AH66" s="156">
        <v>127</v>
      </c>
      <c r="AI66" s="156"/>
      <c r="AJ66" s="156">
        <v>0</v>
      </c>
      <c r="AK66" s="156">
        <f t="shared" si="2"/>
        <v>23586</v>
      </c>
      <c r="AL66" s="156">
        <v>0</v>
      </c>
      <c r="AM66" s="156">
        <v>0</v>
      </c>
      <c r="AN66" s="156">
        <v>1498</v>
      </c>
      <c r="AO66" s="156">
        <v>572</v>
      </c>
      <c r="AP66" s="156">
        <v>19400</v>
      </c>
      <c r="AQ66" s="156">
        <v>2074</v>
      </c>
      <c r="AR66" s="156">
        <f t="shared" si="3"/>
        <v>23544</v>
      </c>
      <c r="AS66" s="156">
        <v>69277</v>
      </c>
      <c r="AT66" s="156">
        <v>0</v>
      </c>
      <c r="AU66" s="156">
        <v>3184</v>
      </c>
      <c r="AV66" s="156">
        <v>24713</v>
      </c>
      <c r="AW66" s="156"/>
      <c r="AX66" s="156">
        <v>0</v>
      </c>
      <c r="AY66" s="156">
        <v>3774</v>
      </c>
      <c r="AZ66" s="156">
        <v>0</v>
      </c>
      <c r="BA66" s="156">
        <f t="shared" si="4"/>
        <v>100948</v>
      </c>
      <c r="BB66" s="156"/>
      <c r="BC66" s="156"/>
      <c r="BD66" s="156"/>
      <c r="BE66" s="156">
        <f t="shared" si="5"/>
        <v>0</v>
      </c>
      <c r="BF66" s="156">
        <v>0</v>
      </c>
      <c r="BG66" s="156">
        <f t="shared" si="6"/>
        <v>556374.92</v>
      </c>
      <c r="DD66" s="175"/>
      <c r="DE66" s="126" t="s">
        <v>33</v>
      </c>
      <c r="DF66" s="126" t="s">
        <v>33</v>
      </c>
      <c r="DG66" s="126" t="s">
        <v>33</v>
      </c>
      <c r="DH66" s="126" t="s">
        <v>33</v>
      </c>
      <c r="DI66" s="176"/>
      <c r="DJ66" s="126" t="s">
        <v>33</v>
      </c>
      <c r="DK66" s="126" t="s">
        <v>33</v>
      </c>
      <c r="DL66" s="126" t="s">
        <v>33</v>
      </c>
      <c r="DM66" s="126" t="s">
        <v>33</v>
      </c>
      <c r="DN66" s="126" t="s">
        <v>33</v>
      </c>
      <c r="DO66" s="126" t="s">
        <v>33</v>
      </c>
      <c r="DP66" s="126" t="s">
        <v>33</v>
      </c>
      <c r="DQ66" s="126" t="s">
        <v>33</v>
      </c>
      <c r="DR66" s="161"/>
      <c r="DS66" s="126" t="s">
        <v>33</v>
      </c>
      <c r="DT66" s="122">
        <f t="shared" si="7"/>
        <v>0</v>
      </c>
    </row>
    <row r="67" spans="1:124" ht="12">
      <c r="A67" s="128" t="s">
        <v>496</v>
      </c>
      <c r="B67" s="128">
        <v>3304</v>
      </c>
      <c r="C67" s="156"/>
      <c r="D67" s="172">
        <v>0</v>
      </c>
      <c r="E67" s="172">
        <v>0</v>
      </c>
      <c r="F67" s="172">
        <v>0</v>
      </c>
      <c r="G67" s="172">
        <v>0</v>
      </c>
      <c r="H67" s="172">
        <v>13</v>
      </c>
      <c r="I67" s="172">
        <v>28</v>
      </c>
      <c r="J67" s="172">
        <v>42</v>
      </c>
      <c r="K67" s="172">
        <v>35</v>
      </c>
      <c r="L67" s="156"/>
      <c r="M67" s="156"/>
      <c r="N67" s="156"/>
      <c r="O67" s="156"/>
      <c r="P67" s="156"/>
      <c r="Q67" s="173">
        <v>0</v>
      </c>
      <c r="R67" s="157"/>
      <c r="S67" s="159"/>
      <c r="T67" s="172">
        <f t="shared" si="8"/>
        <v>118</v>
      </c>
      <c r="U67" s="156">
        <f t="shared" si="0"/>
        <v>221293.87</v>
      </c>
      <c r="V67" s="156">
        <v>0</v>
      </c>
      <c r="W67" s="156"/>
      <c r="X67" s="156">
        <v>0</v>
      </c>
      <c r="Y67" s="156"/>
      <c r="Z67" s="156"/>
      <c r="AA67" s="156">
        <f t="shared" si="1"/>
        <v>0</v>
      </c>
      <c r="AB67" s="156"/>
      <c r="AC67" s="160"/>
      <c r="AD67" s="156">
        <v>14336</v>
      </c>
      <c r="AE67" s="156"/>
      <c r="AF67" s="156">
        <v>5025</v>
      </c>
      <c r="AG67" s="156">
        <v>440</v>
      </c>
      <c r="AH67" s="156">
        <v>1645</v>
      </c>
      <c r="AI67" s="156"/>
      <c r="AJ67" s="156">
        <v>0</v>
      </c>
      <c r="AK67" s="156">
        <f t="shared" si="2"/>
        <v>21446</v>
      </c>
      <c r="AL67" s="156">
        <v>0</v>
      </c>
      <c r="AM67" s="156">
        <v>0</v>
      </c>
      <c r="AN67" s="156">
        <v>1689</v>
      </c>
      <c r="AO67" s="156">
        <v>1029</v>
      </c>
      <c r="AP67" s="156">
        <v>23336</v>
      </c>
      <c r="AQ67" s="156">
        <v>2469</v>
      </c>
      <c r="AR67" s="156">
        <f t="shared" si="3"/>
        <v>28523</v>
      </c>
      <c r="AS67" s="156">
        <v>68642</v>
      </c>
      <c r="AT67" s="156">
        <v>0</v>
      </c>
      <c r="AU67" s="156">
        <v>3840</v>
      </c>
      <c r="AV67" s="156">
        <v>33413</v>
      </c>
      <c r="AW67" s="156"/>
      <c r="AX67" s="156">
        <v>0</v>
      </c>
      <c r="AY67" s="156">
        <v>6227</v>
      </c>
      <c r="AZ67" s="156">
        <v>0</v>
      </c>
      <c r="BA67" s="156">
        <f t="shared" si="4"/>
        <v>112122</v>
      </c>
      <c r="BB67" s="156"/>
      <c r="BC67" s="156"/>
      <c r="BD67" s="156"/>
      <c r="BE67" s="156">
        <f t="shared" si="5"/>
        <v>0</v>
      </c>
      <c r="BF67" s="156">
        <v>0</v>
      </c>
      <c r="BG67" s="156">
        <f t="shared" si="6"/>
        <v>383384.87</v>
      </c>
      <c r="DD67" s="175"/>
      <c r="DE67" s="126" t="s">
        <v>33</v>
      </c>
      <c r="DF67" s="126" t="s">
        <v>33</v>
      </c>
      <c r="DG67" s="126" t="s">
        <v>33</v>
      </c>
      <c r="DH67" s="126" t="s">
        <v>33</v>
      </c>
      <c r="DI67" s="176"/>
      <c r="DJ67" s="126" t="s">
        <v>33</v>
      </c>
      <c r="DK67" s="126" t="s">
        <v>33</v>
      </c>
      <c r="DL67" s="126" t="s">
        <v>33</v>
      </c>
      <c r="DM67" s="126" t="s">
        <v>33</v>
      </c>
      <c r="DN67" s="126" t="s">
        <v>33</v>
      </c>
      <c r="DO67" s="126" t="s">
        <v>33</v>
      </c>
      <c r="DP67" s="126" t="s">
        <v>33</v>
      </c>
      <c r="DQ67" s="126" t="s">
        <v>33</v>
      </c>
      <c r="DR67" s="161"/>
      <c r="DS67" s="126" t="s">
        <v>33</v>
      </c>
      <c r="DT67" s="122">
        <f t="shared" si="7"/>
        <v>0</v>
      </c>
    </row>
    <row r="68" spans="1:124" ht="12">
      <c r="A68" s="128" t="s">
        <v>497</v>
      </c>
      <c r="B68" s="128">
        <v>3516</v>
      </c>
      <c r="C68" s="156"/>
      <c r="D68" s="172">
        <v>15</v>
      </c>
      <c r="E68" s="172">
        <v>13</v>
      </c>
      <c r="F68" s="172">
        <v>26</v>
      </c>
      <c r="G68" s="172">
        <v>29</v>
      </c>
      <c r="H68" s="172">
        <v>30</v>
      </c>
      <c r="I68" s="172">
        <v>26</v>
      </c>
      <c r="J68" s="172">
        <v>25</v>
      </c>
      <c r="K68" s="172">
        <v>29</v>
      </c>
      <c r="L68" s="156"/>
      <c r="M68" s="156"/>
      <c r="N68" s="156"/>
      <c r="O68" s="156"/>
      <c r="P68" s="156"/>
      <c r="Q68" s="173">
        <v>0</v>
      </c>
      <c r="R68" s="157"/>
      <c r="S68" s="159"/>
      <c r="T68" s="172">
        <f t="shared" si="8"/>
        <v>193</v>
      </c>
      <c r="U68" s="156">
        <f t="shared" si="0"/>
        <v>348323.11000000004</v>
      </c>
      <c r="V68" s="156">
        <v>33065</v>
      </c>
      <c r="W68" s="156"/>
      <c r="X68" s="156">
        <v>18134</v>
      </c>
      <c r="Y68" s="156"/>
      <c r="Z68" s="156"/>
      <c r="AA68" s="156">
        <f t="shared" si="1"/>
        <v>51199</v>
      </c>
      <c r="AB68" s="156"/>
      <c r="AC68" s="160"/>
      <c r="AD68" s="156">
        <v>4779</v>
      </c>
      <c r="AE68" s="156"/>
      <c r="AF68" s="156">
        <v>17752</v>
      </c>
      <c r="AG68" s="156">
        <v>1553</v>
      </c>
      <c r="AH68" s="156">
        <v>7079</v>
      </c>
      <c r="AI68" s="156"/>
      <c r="AJ68" s="156">
        <v>0</v>
      </c>
      <c r="AK68" s="156">
        <f t="shared" si="2"/>
        <v>31163</v>
      </c>
      <c r="AL68" s="156">
        <v>0</v>
      </c>
      <c r="AM68" s="156">
        <v>0</v>
      </c>
      <c r="AN68" s="156">
        <v>2071</v>
      </c>
      <c r="AO68" s="156">
        <v>770</v>
      </c>
      <c r="AP68" s="156">
        <v>30164</v>
      </c>
      <c r="AQ68" s="156">
        <v>2941</v>
      </c>
      <c r="AR68" s="156">
        <f t="shared" si="3"/>
        <v>35946</v>
      </c>
      <c r="AS68" s="156">
        <v>69277</v>
      </c>
      <c r="AT68" s="156">
        <v>0</v>
      </c>
      <c r="AU68" s="156">
        <v>816</v>
      </c>
      <c r="AV68" s="156">
        <v>27846</v>
      </c>
      <c r="AW68" s="156"/>
      <c r="AX68" s="156">
        <v>0</v>
      </c>
      <c r="AY68" s="156">
        <v>5618</v>
      </c>
      <c r="AZ68" s="156">
        <v>6000</v>
      </c>
      <c r="BA68" s="156">
        <f t="shared" si="4"/>
        <v>109557</v>
      </c>
      <c r="BB68" s="156"/>
      <c r="BC68" s="156"/>
      <c r="BD68" s="156"/>
      <c r="BE68" s="156">
        <f t="shared" si="5"/>
        <v>0</v>
      </c>
      <c r="BF68" s="156">
        <v>0</v>
      </c>
      <c r="BG68" s="156">
        <f t="shared" si="6"/>
        <v>576188.1100000001</v>
      </c>
      <c r="DD68" s="175"/>
      <c r="DE68" s="126" t="s">
        <v>33</v>
      </c>
      <c r="DF68" s="126" t="s">
        <v>33</v>
      </c>
      <c r="DG68" s="126" t="s">
        <v>33</v>
      </c>
      <c r="DH68" s="126" t="s">
        <v>33</v>
      </c>
      <c r="DI68" s="176"/>
      <c r="DJ68" s="126" t="s">
        <v>33</v>
      </c>
      <c r="DK68" s="126" t="s">
        <v>33</v>
      </c>
      <c r="DL68" s="126" t="s">
        <v>33</v>
      </c>
      <c r="DM68" s="126" t="s">
        <v>33</v>
      </c>
      <c r="DN68" s="126" t="s">
        <v>33</v>
      </c>
      <c r="DO68" s="126" t="s">
        <v>33</v>
      </c>
      <c r="DP68" s="126" t="s">
        <v>33</v>
      </c>
      <c r="DQ68" s="126" t="s">
        <v>33</v>
      </c>
      <c r="DR68" s="161"/>
      <c r="DS68" s="126" t="s">
        <v>33</v>
      </c>
      <c r="DT68" s="122">
        <f t="shared" si="7"/>
        <v>0</v>
      </c>
    </row>
    <row r="69" spans="1:124" ht="12">
      <c r="A69" s="128" t="s">
        <v>498</v>
      </c>
      <c r="B69" s="128">
        <v>3300</v>
      </c>
      <c r="C69" s="156"/>
      <c r="D69" s="172">
        <v>15</v>
      </c>
      <c r="E69" s="172">
        <v>30</v>
      </c>
      <c r="F69" s="172">
        <v>30</v>
      </c>
      <c r="G69" s="172">
        <v>30</v>
      </c>
      <c r="H69" s="172">
        <v>27</v>
      </c>
      <c r="I69" s="172">
        <v>30</v>
      </c>
      <c r="J69" s="172">
        <v>59</v>
      </c>
      <c r="K69" s="172">
        <v>30</v>
      </c>
      <c r="L69" s="156"/>
      <c r="M69" s="156"/>
      <c r="N69" s="156"/>
      <c r="O69" s="156"/>
      <c r="P69" s="156"/>
      <c r="Q69" s="173">
        <v>0</v>
      </c>
      <c r="R69" s="157"/>
      <c r="S69" s="159"/>
      <c r="T69" s="172">
        <f t="shared" si="8"/>
        <v>251</v>
      </c>
      <c r="U69" s="156">
        <f t="shared" si="0"/>
        <v>465051.44</v>
      </c>
      <c r="V69" s="156">
        <v>33065</v>
      </c>
      <c r="W69" s="156"/>
      <c r="X69" s="156">
        <v>0</v>
      </c>
      <c r="Y69" s="156"/>
      <c r="Z69" s="156"/>
      <c r="AA69" s="156">
        <f t="shared" si="1"/>
        <v>33065</v>
      </c>
      <c r="AB69" s="156"/>
      <c r="AC69" s="160"/>
      <c r="AD69" s="156">
        <v>12233</v>
      </c>
      <c r="AE69" s="156"/>
      <c r="AF69" s="156">
        <v>9286</v>
      </c>
      <c r="AG69" s="156">
        <v>812</v>
      </c>
      <c r="AH69" s="156">
        <v>1265</v>
      </c>
      <c r="AI69" s="156"/>
      <c r="AJ69" s="156">
        <v>0</v>
      </c>
      <c r="AK69" s="156">
        <f t="shared" si="2"/>
        <v>23596</v>
      </c>
      <c r="AL69" s="156">
        <v>0</v>
      </c>
      <c r="AM69" s="156">
        <v>0</v>
      </c>
      <c r="AN69" s="156">
        <v>2208</v>
      </c>
      <c r="AO69" s="156">
        <v>855</v>
      </c>
      <c r="AP69" s="156">
        <v>25372</v>
      </c>
      <c r="AQ69" s="156">
        <v>3171</v>
      </c>
      <c r="AR69" s="156">
        <f t="shared" si="3"/>
        <v>31606</v>
      </c>
      <c r="AS69" s="156">
        <v>69277</v>
      </c>
      <c r="AT69" s="156">
        <v>0</v>
      </c>
      <c r="AU69" s="156">
        <v>3216</v>
      </c>
      <c r="AV69" s="156">
        <v>4959</v>
      </c>
      <c r="AW69" s="156"/>
      <c r="AX69" s="156">
        <v>0</v>
      </c>
      <c r="AY69" s="156">
        <v>3767</v>
      </c>
      <c r="AZ69" s="156">
        <v>0</v>
      </c>
      <c r="BA69" s="156">
        <f t="shared" si="4"/>
        <v>81219</v>
      </c>
      <c r="BB69" s="156"/>
      <c r="BC69" s="156"/>
      <c r="BD69" s="156"/>
      <c r="BE69" s="156">
        <f t="shared" si="5"/>
        <v>0</v>
      </c>
      <c r="BF69" s="156">
        <v>0</v>
      </c>
      <c r="BG69" s="156">
        <f t="shared" si="6"/>
        <v>634537.44</v>
      </c>
      <c r="DD69" s="175"/>
      <c r="DE69" s="126" t="s">
        <v>33</v>
      </c>
      <c r="DF69" s="126" t="s">
        <v>33</v>
      </c>
      <c r="DG69" s="126" t="s">
        <v>33</v>
      </c>
      <c r="DH69" s="126" t="s">
        <v>33</v>
      </c>
      <c r="DI69" s="176"/>
      <c r="DJ69" s="126" t="s">
        <v>33</v>
      </c>
      <c r="DK69" s="126" t="s">
        <v>33</v>
      </c>
      <c r="DL69" s="126" t="s">
        <v>33</v>
      </c>
      <c r="DM69" s="126" t="s">
        <v>33</v>
      </c>
      <c r="DN69" s="126" t="s">
        <v>33</v>
      </c>
      <c r="DO69" s="126" t="s">
        <v>33</v>
      </c>
      <c r="DP69" s="126" t="s">
        <v>33</v>
      </c>
      <c r="DQ69" s="126" t="s">
        <v>33</v>
      </c>
      <c r="DR69" s="161"/>
      <c r="DS69" s="126" t="s">
        <v>33</v>
      </c>
      <c r="DT69" s="122">
        <f t="shared" si="7"/>
        <v>0</v>
      </c>
    </row>
    <row r="70" spans="1:124" ht="12">
      <c r="A70" s="128" t="s">
        <v>499</v>
      </c>
      <c r="B70" s="128">
        <v>3314</v>
      </c>
      <c r="C70" s="156"/>
      <c r="D70" s="172">
        <v>15</v>
      </c>
      <c r="E70" s="172">
        <v>30</v>
      </c>
      <c r="F70" s="172">
        <v>30</v>
      </c>
      <c r="G70" s="172">
        <v>30</v>
      </c>
      <c r="H70" s="172">
        <v>29</v>
      </c>
      <c r="I70" s="172">
        <v>35</v>
      </c>
      <c r="J70" s="172">
        <v>35</v>
      </c>
      <c r="K70" s="172">
        <v>30</v>
      </c>
      <c r="L70" s="156"/>
      <c r="M70" s="156"/>
      <c r="N70" s="156"/>
      <c r="O70" s="156"/>
      <c r="P70" s="156"/>
      <c r="Q70" s="173">
        <v>0</v>
      </c>
      <c r="R70" s="157"/>
      <c r="S70" s="159"/>
      <c r="T70" s="172">
        <f t="shared" si="8"/>
        <v>234</v>
      </c>
      <c r="U70" s="156">
        <f t="shared" si="0"/>
        <v>433450.7100000001</v>
      </c>
      <c r="V70" s="156">
        <v>33065</v>
      </c>
      <c r="W70" s="156"/>
      <c r="X70" s="156">
        <v>0</v>
      </c>
      <c r="Y70" s="156"/>
      <c r="Z70" s="156"/>
      <c r="AA70" s="156">
        <f t="shared" si="1"/>
        <v>33065</v>
      </c>
      <c r="AB70" s="156"/>
      <c r="AC70" s="160"/>
      <c r="AD70" s="156">
        <v>4779</v>
      </c>
      <c r="AE70" s="156"/>
      <c r="AF70" s="156">
        <v>15905</v>
      </c>
      <c r="AG70" s="156">
        <v>1392</v>
      </c>
      <c r="AH70" s="156">
        <v>2782</v>
      </c>
      <c r="AI70" s="156"/>
      <c r="AJ70" s="156">
        <v>0</v>
      </c>
      <c r="AK70" s="156">
        <f t="shared" si="2"/>
        <v>24858</v>
      </c>
      <c r="AL70" s="156">
        <v>0</v>
      </c>
      <c r="AM70" s="156">
        <v>0</v>
      </c>
      <c r="AN70" s="156">
        <v>1949</v>
      </c>
      <c r="AO70" s="156">
        <v>837</v>
      </c>
      <c r="AP70" s="156">
        <v>22547</v>
      </c>
      <c r="AQ70" s="156">
        <v>2248</v>
      </c>
      <c r="AR70" s="156">
        <f t="shared" si="3"/>
        <v>27581</v>
      </c>
      <c r="AS70" s="156">
        <v>69277</v>
      </c>
      <c r="AT70" s="156">
        <v>0</v>
      </c>
      <c r="AU70" s="156">
        <v>2800</v>
      </c>
      <c r="AV70" s="156">
        <v>13295</v>
      </c>
      <c r="AW70" s="156"/>
      <c r="AX70" s="156">
        <v>0</v>
      </c>
      <c r="AY70" s="156">
        <v>3978</v>
      </c>
      <c r="AZ70" s="156">
        <v>0</v>
      </c>
      <c r="BA70" s="156">
        <f t="shared" si="4"/>
        <v>89350</v>
      </c>
      <c r="BB70" s="156"/>
      <c r="BC70" s="156"/>
      <c r="BD70" s="156"/>
      <c r="BE70" s="156">
        <f t="shared" si="5"/>
        <v>0</v>
      </c>
      <c r="BF70" s="156">
        <v>0</v>
      </c>
      <c r="BG70" s="156">
        <f t="shared" si="6"/>
        <v>608304.7100000001</v>
      </c>
      <c r="DD70" s="175"/>
      <c r="DE70" s="126" t="s">
        <v>33</v>
      </c>
      <c r="DF70" s="126" t="s">
        <v>33</v>
      </c>
      <c r="DG70" s="126" t="s">
        <v>33</v>
      </c>
      <c r="DH70" s="126" t="s">
        <v>33</v>
      </c>
      <c r="DI70" s="176"/>
      <c r="DJ70" s="126" t="s">
        <v>33</v>
      </c>
      <c r="DK70" s="126" t="s">
        <v>33</v>
      </c>
      <c r="DL70" s="126" t="s">
        <v>33</v>
      </c>
      <c r="DM70" s="126" t="s">
        <v>33</v>
      </c>
      <c r="DN70" s="126" t="s">
        <v>33</v>
      </c>
      <c r="DO70" s="126" t="s">
        <v>33</v>
      </c>
      <c r="DP70" s="126" t="s">
        <v>33</v>
      </c>
      <c r="DQ70" s="126" t="s">
        <v>33</v>
      </c>
      <c r="DR70" s="161"/>
      <c r="DS70" s="126" t="s">
        <v>33</v>
      </c>
      <c r="DT70" s="122">
        <f t="shared" si="7"/>
        <v>0</v>
      </c>
    </row>
    <row r="71" spans="1:124" ht="12">
      <c r="A71" s="128" t="s">
        <v>500</v>
      </c>
      <c r="B71" s="128">
        <v>3313</v>
      </c>
      <c r="C71" s="156"/>
      <c r="D71" s="172">
        <v>15</v>
      </c>
      <c r="E71" s="172">
        <v>30</v>
      </c>
      <c r="F71" s="172">
        <v>30</v>
      </c>
      <c r="G71" s="172">
        <v>30</v>
      </c>
      <c r="H71" s="172">
        <v>32</v>
      </c>
      <c r="I71" s="172">
        <v>33</v>
      </c>
      <c r="J71" s="172">
        <v>43</v>
      </c>
      <c r="K71" s="172">
        <v>66</v>
      </c>
      <c r="L71" s="156"/>
      <c r="M71" s="156"/>
      <c r="N71" s="156"/>
      <c r="O71" s="156"/>
      <c r="P71" s="156"/>
      <c r="Q71" s="173">
        <v>0</v>
      </c>
      <c r="R71" s="157"/>
      <c r="S71" s="159"/>
      <c r="T71" s="172">
        <f t="shared" si="8"/>
        <v>279</v>
      </c>
      <c r="U71" s="156">
        <f t="shared" si="0"/>
        <v>517700.61000000004</v>
      </c>
      <c r="V71" s="156">
        <v>33065</v>
      </c>
      <c r="W71" s="156"/>
      <c r="X71" s="156">
        <v>0</v>
      </c>
      <c r="Y71" s="156"/>
      <c r="Z71" s="156"/>
      <c r="AA71" s="156">
        <f t="shared" si="1"/>
        <v>33065</v>
      </c>
      <c r="AB71" s="156"/>
      <c r="AC71" s="160"/>
      <c r="AD71" s="156">
        <v>3823</v>
      </c>
      <c r="AE71" s="156"/>
      <c r="AF71" s="156">
        <v>6221</v>
      </c>
      <c r="AG71" s="156">
        <v>544</v>
      </c>
      <c r="AH71" s="156">
        <v>1010</v>
      </c>
      <c r="AI71" s="156"/>
      <c r="AJ71" s="156">
        <v>0</v>
      </c>
      <c r="AK71" s="156">
        <f t="shared" si="2"/>
        <v>11598</v>
      </c>
      <c r="AL71" s="156">
        <v>0</v>
      </c>
      <c r="AM71" s="156">
        <v>0</v>
      </c>
      <c r="AN71" s="156">
        <v>2382</v>
      </c>
      <c r="AO71" s="156">
        <v>1834</v>
      </c>
      <c r="AP71" s="156">
        <v>23543</v>
      </c>
      <c r="AQ71" s="156">
        <v>3917</v>
      </c>
      <c r="AR71" s="156">
        <f t="shared" si="3"/>
        <v>31676</v>
      </c>
      <c r="AS71" s="156">
        <v>69277</v>
      </c>
      <c r="AT71" s="156">
        <v>0</v>
      </c>
      <c r="AU71" s="156">
        <v>3712</v>
      </c>
      <c r="AV71" s="156">
        <v>0</v>
      </c>
      <c r="AW71" s="156"/>
      <c r="AX71" s="156">
        <v>0</v>
      </c>
      <c r="AY71" s="156">
        <v>13778</v>
      </c>
      <c r="AZ71" s="156">
        <v>0</v>
      </c>
      <c r="BA71" s="156">
        <f t="shared" si="4"/>
        <v>86767</v>
      </c>
      <c r="BB71" s="156"/>
      <c r="BC71" s="156"/>
      <c r="BD71" s="156"/>
      <c r="BE71" s="156">
        <f t="shared" si="5"/>
        <v>0</v>
      </c>
      <c r="BF71" s="156">
        <v>0</v>
      </c>
      <c r="BG71" s="156">
        <f t="shared" si="6"/>
        <v>680806.6100000001</v>
      </c>
      <c r="DD71" s="175"/>
      <c r="DE71" s="126" t="s">
        <v>33</v>
      </c>
      <c r="DF71" s="126" t="s">
        <v>33</v>
      </c>
      <c r="DG71" s="126" t="s">
        <v>33</v>
      </c>
      <c r="DH71" s="126" t="s">
        <v>33</v>
      </c>
      <c r="DI71" s="176"/>
      <c r="DJ71" s="126" t="s">
        <v>33</v>
      </c>
      <c r="DK71" s="126" t="s">
        <v>33</v>
      </c>
      <c r="DL71" s="126" t="s">
        <v>33</v>
      </c>
      <c r="DM71" s="126" t="s">
        <v>33</v>
      </c>
      <c r="DN71" s="126" t="s">
        <v>33</v>
      </c>
      <c r="DO71" s="126" t="s">
        <v>33</v>
      </c>
      <c r="DP71" s="126" t="s">
        <v>33</v>
      </c>
      <c r="DQ71" s="126" t="s">
        <v>33</v>
      </c>
      <c r="DR71" s="161"/>
      <c r="DS71" s="126" t="s">
        <v>33</v>
      </c>
      <c r="DT71" s="122">
        <f t="shared" si="7"/>
        <v>0</v>
      </c>
    </row>
    <row r="72" spans="1:124" ht="12">
      <c r="A72" s="128" t="s">
        <v>501</v>
      </c>
      <c r="B72" s="128">
        <v>3514</v>
      </c>
      <c r="C72" s="156"/>
      <c r="D72" s="172">
        <v>10</v>
      </c>
      <c r="E72" s="172">
        <v>23</v>
      </c>
      <c r="F72" s="172">
        <v>26</v>
      </c>
      <c r="G72" s="172">
        <v>28</v>
      </c>
      <c r="H72" s="172">
        <v>14</v>
      </c>
      <c r="I72" s="172">
        <v>25</v>
      </c>
      <c r="J72" s="172">
        <v>27</v>
      </c>
      <c r="K72" s="172">
        <v>28</v>
      </c>
      <c r="L72" s="156"/>
      <c r="M72" s="156"/>
      <c r="N72" s="156"/>
      <c r="O72" s="156"/>
      <c r="P72" s="156"/>
      <c r="Q72" s="173">
        <v>0</v>
      </c>
      <c r="R72" s="157"/>
      <c r="S72" s="159"/>
      <c r="T72" s="172">
        <f t="shared" si="8"/>
        <v>181</v>
      </c>
      <c r="U72" s="156">
        <f t="shared" si="0"/>
        <v>336724.22000000003</v>
      </c>
      <c r="V72" s="156">
        <v>24533</v>
      </c>
      <c r="W72" s="156"/>
      <c r="X72" s="156">
        <v>7467</v>
      </c>
      <c r="Y72" s="156"/>
      <c r="Z72" s="156"/>
      <c r="AA72" s="156">
        <f t="shared" si="1"/>
        <v>32000</v>
      </c>
      <c r="AB72" s="156"/>
      <c r="AC72" s="160"/>
      <c r="AD72" s="156">
        <v>0</v>
      </c>
      <c r="AE72" s="156"/>
      <c r="AF72" s="156">
        <v>14930</v>
      </c>
      <c r="AG72" s="156">
        <v>1306</v>
      </c>
      <c r="AH72" s="156">
        <v>5310</v>
      </c>
      <c r="AI72" s="156"/>
      <c r="AJ72" s="156">
        <v>0</v>
      </c>
      <c r="AK72" s="156">
        <f t="shared" si="2"/>
        <v>21546</v>
      </c>
      <c r="AL72" s="156">
        <v>0</v>
      </c>
      <c r="AM72" s="156">
        <v>0</v>
      </c>
      <c r="AN72" s="156">
        <v>1667</v>
      </c>
      <c r="AO72" s="156">
        <v>847</v>
      </c>
      <c r="AP72" s="156">
        <v>29956</v>
      </c>
      <c r="AQ72" s="156">
        <v>3845</v>
      </c>
      <c r="AR72" s="156">
        <f t="shared" si="3"/>
        <v>36315</v>
      </c>
      <c r="AS72" s="156">
        <v>69277</v>
      </c>
      <c r="AT72" s="156">
        <v>0</v>
      </c>
      <c r="AU72" s="156">
        <v>2272</v>
      </c>
      <c r="AV72" s="156">
        <v>29546</v>
      </c>
      <c r="AW72" s="156"/>
      <c r="AX72" s="156">
        <v>0</v>
      </c>
      <c r="AY72" s="156">
        <v>8941</v>
      </c>
      <c r="AZ72" s="156">
        <v>0</v>
      </c>
      <c r="BA72" s="156">
        <f t="shared" si="4"/>
        <v>110036</v>
      </c>
      <c r="BB72" s="156"/>
      <c r="BC72" s="156"/>
      <c r="BD72" s="156"/>
      <c r="BE72" s="156">
        <f t="shared" si="5"/>
        <v>0</v>
      </c>
      <c r="BF72" s="156">
        <v>0</v>
      </c>
      <c r="BG72" s="156">
        <f t="shared" si="6"/>
        <v>536621.22</v>
      </c>
      <c r="DD72" s="175"/>
      <c r="DE72" s="126" t="s">
        <v>33</v>
      </c>
      <c r="DF72" s="126" t="s">
        <v>33</v>
      </c>
      <c r="DG72" s="126" t="s">
        <v>33</v>
      </c>
      <c r="DH72" s="126" t="s">
        <v>33</v>
      </c>
      <c r="DI72" s="176"/>
      <c r="DJ72" s="126" t="s">
        <v>33</v>
      </c>
      <c r="DK72" s="126" t="s">
        <v>33</v>
      </c>
      <c r="DL72" s="126" t="s">
        <v>33</v>
      </c>
      <c r="DM72" s="126" t="s">
        <v>33</v>
      </c>
      <c r="DN72" s="126" t="s">
        <v>33</v>
      </c>
      <c r="DO72" s="126" t="s">
        <v>33</v>
      </c>
      <c r="DP72" s="126" t="s">
        <v>33</v>
      </c>
      <c r="DQ72" s="126" t="s">
        <v>33</v>
      </c>
      <c r="DR72" s="161"/>
      <c r="DS72" s="126" t="s">
        <v>33</v>
      </c>
      <c r="DT72" s="122">
        <f t="shared" si="7"/>
        <v>0</v>
      </c>
    </row>
    <row r="73" spans="1:124" ht="12">
      <c r="A73" s="128" t="s">
        <v>502</v>
      </c>
      <c r="B73" s="128">
        <v>2020</v>
      </c>
      <c r="C73" s="156"/>
      <c r="D73" s="172">
        <v>30</v>
      </c>
      <c r="E73" s="172">
        <v>60</v>
      </c>
      <c r="F73" s="172">
        <v>60</v>
      </c>
      <c r="G73" s="172">
        <v>60</v>
      </c>
      <c r="H73" s="172">
        <v>0</v>
      </c>
      <c r="I73" s="172">
        <v>0</v>
      </c>
      <c r="J73" s="172">
        <v>0</v>
      </c>
      <c r="K73" s="172">
        <v>0</v>
      </c>
      <c r="L73" s="156"/>
      <c r="M73" s="156"/>
      <c r="N73" s="156"/>
      <c r="O73" s="156"/>
      <c r="P73" s="156"/>
      <c r="Q73" s="173">
        <v>0</v>
      </c>
      <c r="R73" s="157"/>
      <c r="S73" s="159"/>
      <c r="T73" s="172">
        <f t="shared" si="8"/>
        <v>210</v>
      </c>
      <c r="U73" s="156">
        <f t="shared" si="0"/>
        <v>380912.7</v>
      </c>
      <c r="V73" s="156">
        <v>66129</v>
      </c>
      <c r="W73" s="156"/>
      <c r="X73" s="156">
        <v>0</v>
      </c>
      <c r="Y73" s="156"/>
      <c r="Z73" s="156"/>
      <c r="AA73" s="156">
        <f t="shared" si="1"/>
        <v>66129</v>
      </c>
      <c r="AB73" s="156"/>
      <c r="AC73" s="160"/>
      <c r="AD73" s="156">
        <v>34023</v>
      </c>
      <c r="AE73" s="156"/>
      <c r="AF73" s="156">
        <v>3098</v>
      </c>
      <c r="AG73" s="156">
        <v>271</v>
      </c>
      <c r="AH73" s="156">
        <v>506</v>
      </c>
      <c r="AI73" s="156"/>
      <c r="AJ73" s="156">
        <v>0</v>
      </c>
      <c r="AK73" s="156">
        <f t="shared" si="2"/>
        <v>37898</v>
      </c>
      <c r="AL73" s="156">
        <v>0</v>
      </c>
      <c r="AM73" s="156">
        <v>0</v>
      </c>
      <c r="AN73" s="156">
        <v>8552</v>
      </c>
      <c r="AO73" s="156">
        <v>636</v>
      </c>
      <c r="AP73" s="156">
        <v>24285</v>
      </c>
      <c r="AQ73" s="156">
        <v>1710</v>
      </c>
      <c r="AR73" s="156">
        <f t="shared" si="3"/>
        <v>35183</v>
      </c>
      <c r="AS73" s="156">
        <v>69277</v>
      </c>
      <c r="AT73" s="156">
        <v>0</v>
      </c>
      <c r="AU73" s="156">
        <v>2256</v>
      </c>
      <c r="AV73" s="156">
        <v>0</v>
      </c>
      <c r="AW73" s="156"/>
      <c r="AX73" s="156">
        <v>0</v>
      </c>
      <c r="AY73" s="156">
        <v>2577</v>
      </c>
      <c r="AZ73" s="156">
        <v>0</v>
      </c>
      <c r="BA73" s="156">
        <f t="shared" si="4"/>
        <v>74110</v>
      </c>
      <c r="BB73" s="156"/>
      <c r="BC73" s="156"/>
      <c r="BD73" s="156"/>
      <c r="BE73" s="156">
        <f t="shared" si="5"/>
        <v>0</v>
      </c>
      <c r="BF73" s="156">
        <v>0</v>
      </c>
      <c r="BG73" s="156">
        <f t="shared" si="6"/>
        <v>594232.7</v>
      </c>
      <c r="DD73" s="175"/>
      <c r="DE73" s="126" t="s">
        <v>33</v>
      </c>
      <c r="DF73" s="126" t="s">
        <v>33</v>
      </c>
      <c r="DG73" s="126" t="s">
        <v>33</v>
      </c>
      <c r="DH73" s="126" t="s">
        <v>33</v>
      </c>
      <c r="DI73" s="176"/>
      <c r="DJ73" s="126" t="s">
        <v>33</v>
      </c>
      <c r="DK73" s="126" t="s">
        <v>33</v>
      </c>
      <c r="DL73" s="126" t="s">
        <v>33</v>
      </c>
      <c r="DM73" s="126" t="s">
        <v>33</v>
      </c>
      <c r="DN73" s="126" t="s">
        <v>33</v>
      </c>
      <c r="DO73" s="126" t="s">
        <v>33</v>
      </c>
      <c r="DP73" s="126" t="s">
        <v>33</v>
      </c>
      <c r="DQ73" s="126" t="s">
        <v>33</v>
      </c>
      <c r="DR73" s="161"/>
      <c r="DS73" s="126" t="s">
        <v>33</v>
      </c>
      <c r="DT73" s="122">
        <f t="shared" si="7"/>
        <v>0</v>
      </c>
    </row>
    <row r="74" spans="1:124" ht="12">
      <c r="A74" s="128" t="s">
        <v>503</v>
      </c>
      <c r="B74" s="128">
        <v>2058</v>
      </c>
      <c r="C74" s="156"/>
      <c r="D74" s="172">
        <v>15</v>
      </c>
      <c r="E74" s="172">
        <v>26</v>
      </c>
      <c r="F74" s="172">
        <v>28</v>
      </c>
      <c r="G74" s="172">
        <v>44</v>
      </c>
      <c r="H74" s="172">
        <v>34</v>
      </c>
      <c r="I74" s="172">
        <v>48</v>
      </c>
      <c r="J74" s="172">
        <v>49</v>
      </c>
      <c r="K74" s="172">
        <v>58</v>
      </c>
      <c r="L74" s="156"/>
      <c r="M74" s="156"/>
      <c r="N74" s="156"/>
      <c r="O74" s="156"/>
      <c r="P74" s="156"/>
      <c r="Q74" s="173">
        <v>0</v>
      </c>
      <c r="R74" s="157"/>
      <c r="S74" s="159"/>
      <c r="T74" s="172">
        <f t="shared" si="8"/>
        <v>302</v>
      </c>
      <c r="U74" s="156">
        <f t="shared" si="0"/>
        <v>558697.48</v>
      </c>
      <c r="V74" s="156">
        <v>33065</v>
      </c>
      <c r="W74" s="156"/>
      <c r="X74" s="156">
        <v>13867</v>
      </c>
      <c r="Y74" s="156"/>
      <c r="Z74" s="156"/>
      <c r="AA74" s="156">
        <f t="shared" si="1"/>
        <v>46932</v>
      </c>
      <c r="AB74" s="156"/>
      <c r="AC74" s="160"/>
      <c r="AD74" s="156">
        <v>37272</v>
      </c>
      <c r="AE74" s="156"/>
      <c r="AF74" s="156">
        <v>21193</v>
      </c>
      <c r="AG74" s="156">
        <v>1853</v>
      </c>
      <c r="AH74" s="156">
        <v>1265</v>
      </c>
      <c r="AI74" s="156"/>
      <c r="AJ74" s="156">
        <v>0</v>
      </c>
      <c r="AK74" s="156">
        <f t="shared" si="2"/>
        <v>61583</v>
      </c>
      <c r="AL74" s="156">
        <v>0</v>
      </c>
      <c r="AM74" s="156">
        <v>0</v>
      </c>
      <c r="AN74" s="156">
        <v>26933</v>
      </c>
      <c r="AO74" s="156">
        <v>7833</v>
      </c>
      <c r="AP74" s="156">
        <v>41971</v>
      </c>
      <c r="AQ74" s="156">
        <v>6163</v>
      </c>
      <c r="AR74" s="156">
        <f t="shared" si="3"/>
        <v>82900</v>
      </c>
      <c r="AS74" s="156">
        <v>69277</v>
      </c>
      <c r="AT74" s="156">
        <v>0</v>
      </c>
      <c r="AU74" s="156">
        <v>5040</v>
      </c>
      <c r="AV74" s="156">
        <v>0</v>
      </c>
      <c r="AW74" s="156"/>
      <c r="AX74" s="156">
        <v>0</v>
      </c>
      <c r="AY74" s="156">
        <v>7044</v>
      </c>
      <c r="AZ74" s="156">
        <v>0</v>
      </c>
      <c r="BA74" s="156">
        <f t="shared" si="4"/>
        <v>81361</v>
      </c>
      <c r="BB74" s="156"/>
      <c r="BC74" s="156"/>
      <c r="BD74" s="156"/>
      <c r="BE74" s="156">
        <f t="shared" si="5"/>
        <v>0</v>
      </c>
      <c r="BF74" s="156">
        <v>0</v>
      </c>
      <c r="BG74" s="156">
        <f t="shared" si="6"/>
        <v>831473.48</v>
      </c>
      <c r="DD74" s="175"/>
      <c r="DE74" s="126" t="s">
        <v>33</v>
      </c>
      <c r="DF74" s="126" t="s">
        <v>33</v>
      </c>
      <c r="DG74" s="126" t="s">
        <v>33</v>
      </c>
      <c r="DH74" s="126" t="s">
        <v>33</v>
      </c>
      <c r="DI74" s="176"/>
      <c r="DJ74" s="126" t="s">
        <v>33</v>
      </c>
      <c r="DK74" s="126" t="s">
        <v>33</v>
      </c>
      <c r="DL74" s="126" t="s">
        <v>33</v>
      </c>
      <c r="DM74" s="126" t="s">
        <v>33</v>
      </c>
      <c r="DN74" s="126" t="s">
        <v>33</v>
      </c>
      <c r="DO74" s="126" t="s">
        <v>33</v>
      </c>
      <c r="DP74" s="126" t="s">
        <v>33</v>
      </c>
      <c r="DQ74" s="126" t="s">
        <v>33</v>
      </c>
      <c r="DR74" s="161"/>
      <c r="DS74" s="126" t="s">
        <v>33</v>
      </c>
      <c r="DT74" s="122">
        <f t="shared" si="7"/>
        <v>0</v>
      </c>
    </row>
    <row r="75" spans="1:124" ht="12">
      <c r="A75" s="128" t="s">
        <v>504</v>
      </c>
      <c r="B75" s="128">
        <v>2089</v>
      </c>
      <c r="C75" s="156"/>
      <c r="D75" s="172">
        <v>25</v>
      </c>
      <c r="E75" s="172">
        <v>55</v>
      </c>
      <c r="F75" s="172">
        <v>53</v>
      </c>
      <c r="G75" s="172">
        <v>48</v>
      </c>
      <c r="H75" s="172">
        <v>55</v>
      </c>
      <c r="I75" s="172">
        <v>58</v>
      </c>
      <c r="J75" s="172">
        <v>57</v>
      </c>
      <c r="K75" s="172">
        <v>60</v>
      </c>
      <c r="L75" s="156"/>
      <c r="M75" s="156"/>
      <c r="N75" s="156"/>
      <c r="O75" s="156"/>
      <c r="P75" s="156"/>
      <c r="Q75" s="173">
        <v>6</v>
      </c>
      <c r="R75" s="157"/>
      <c r="S75" s="159"/>
      <c r="T75" s="172">
        <f t="shared" si="8"/>
        <v>417</v>
      </c>
      <c r="U75" s="156">
        <f t="shared" si="0"/>
        <v>764658.7000000001</v>
      </c>
      <c r="V75" s="156">
        <v>57597</v>
      </c>
      <c r="W75" s="156"/>
      <c r="X75" s="156">
        <v>12800</v>
      </c>
      <c r="Y75" s="156"/>
      <c r="Z75" s="156"/>
      <c r="AA75" s="156">
        <f t="shared" si="1"/>
        <v>70397</v>
      </c>
      <c r="AB75" s="156"/>
      <c r="AC75" s="160"/>
      <c r="AD75" s="156">
        <v>30455</v>
      </c>
      <c r="AE75" s="156"/>
      <c r="AF75" s="156">
        <v>28730</v>
      </c>
      <c r="AG75" s="156">
        <v>2513</v>
      </c>
      <c r="AH75" s="156">
        <v>8976</v>
      </c>
      <c r="AI75" s="156"/>
      <c r="AJ75" s="156">
        <v>137070</v>
      </c>
      <c r="AK75" s="156">
        <f t="shared" si="2"/>
        <v>207744</v>
      </c>
      <c r="AL75" s="156">
        <v>0</v>
      </c>
      <c r="AM75" s="156">
        <v>0</v>
      </c>
      <c r="AN75" s="156">
        <v>14939</v>
      </c>
      <c r="AO75" s="156">
        <v>2232</v>
      </c>
      <c r="AP75" s="156">
        <v>53986</v>
      </c>
      <c r="AQ75" s="156">
        <v>7919</v>
      </c>
      <c r="AR75" s="156">
        <f t="shared" si="3"/>
        <v>79076</v>
      </c>
      <c r="AS75" s="156">
        <v>69277</v>
      </c>
      <c r="AT75" s="156">
        <v>0</v>
      </c>
      <c r="AU75" s="156">
        <v>2624</v>
      </c>
      <c r="AV75" s="156">
        <v>0</v>
      </c>
      <c r="AW75" s="156"/>
      <c r="AX75" s="156">
        <v>0</v>
      </c>
      <c r="AY75" s="156">
        <v>12387</v>
      </c>
      <c r="AZ75" s="156">
        <v>0</v>
      </c>
      <c r="BA75" s="156">
        <f t="shared" si="4"/>
        <v>84288</v>
      </c>
      <c r="BB75" s="156"/>
      <c r="BC75" s="156"/>
      <c r="BD75" s="156"/>
      <c r="BE75" s="156">
        <f t="shared" si="5"/>
        <v>0</v>
      </c>
      <c r="BF75" s="156">
        <v>0</v>
      </c>
      <c r="BG75" s="156">
        <f t="shared" si="6"/>
        <v>1206163.7000000002</v>
      </c>
      <c r="DD75" s="175"/>
      <c r="DE75" s="126" t="s">
        <v>33</v>
      </c>
      <c r="DF75" s="126" t="s">
        <v>33</v>
      </c>
      <c r="DG75" s="126" t="s">
        <v>33</v>
      </c>
      <c r="DH75" s="126" t="s">
        <v>33</v>
      </c>
      <c r="DI75" s="176"/>
      <c r="DJ75" s="126" t="s">
        <v>33</v>
      </c>
      <c r="DK75" s="126" t="s">
        <v>33</v>
      </c>
      <c r="DL75" s="126" t="s">
        <v>33</v>
      </c>
      <c r="DM75" s="126" t="s">
        <v>33</v>
      </c>
      <c r="DN75" s="126" t="s">
        <v>33</v>
      </c>
      <c r="DO75" s="126" t="s">
        <v>33</v>
      </c>
      <c r="DP75" s="126" t="s">
        <v>33</v>
      </c>
      <c r="DQ75" s="126" t="s">
        <v>33</v>
      </c>
      <c r="DR75" s="161"/>
      <c r="DS75" s="126" t="s">
        <v>33</v>
      </c>
      <c r="DT75" s="122">
        <f t="shared" si="7"/>
        <v>0</v>
      </c>
    </row>
    <row r="76" spans="1:124" ht="12">
      <c r="A76" s="128" t="s">
        <v>505</v>
      </c>
      <c r="B76" s="128">
        <v>2024</v>
      </c>
      <c r="C76" s="156"/>
      <c r="D76" s="172">
        <v>30</v>
      </c>
      <c r="E76" s="172">
        <v>59</v>
      </c>
      <c r="F76" s="172">
        <v>60</v>
      </c>
      <c r="G76" s="172">
        <v>53</v>
      </c>
      <c r="H76" s="172">
        <v>0</v>
      </c>
      <c r="I76" s="172">
        <v>0</v>
      </c>
      <c r="J76" s="172">
        <v>0</v>
      </c>
      <c r="K76" s="172">
        <v>0</v>
      </c>
      <c r="L76" s="156"/>
      <c r="M76" s="156"/>
      <c r="N76" s="156"/>
      <c r="O76" s="156"/>
      <c r="P76" s="156"/>
      <c r="Q76" s="173">
        <v>0</v>
      </c>
      <c r="R76" s="157"/>
      <c r="S76" s="159"/>
      <c r="T76" s="172">
        <f t="shared" si="8"/>
        <v>202</v>
      </c>
      <c r="U76" s="156">
        <f t="shared" si="0"/>
        <v>365498.98000000004</v>
      </c>
      <c r="V76" s="156">
        <v>66129</v>
      </c>
      <c r="W76" s="156"/>
      <c r="X76" s="156">
        <v>1066</v>
      </c>
      <c r="Y76" s="156"/>
      <c r="Z76" s="156"/>
      <c r="AA76" s="156">
        <f t="shared" si="1"/>
        <v>67195</v>
      </c>
      <c r="AB76" s="156"/>
      <c r="AC76" s="160"/>
      <c r="AD76" s="156">
        <v>7646</v>
      </c>
      <c r="AE76" s="156"/>
      <c r="AF76" s="156">
        <v>5562</v>
      </c>
      <c r="AG76" s="156">
        <v>487</v>
      </c>
      <c r="AH76" s="156">
        <v>2024</v>
      </c>
      <c r="AI76" s="156"/>
      <c r="AJ76" s="156">
        <v>0</v>
      </c>
      <c r="AK76" s="156">
        <f t="shared" si="2"/>
        <v>15719</v>
      </c>
      <c r="AL76" s="156">
        <v>0</v>
      </c>
      <c r="AM76" s="156">
        <v>0</v>
      </c>
      <c r="AN76" s="156">
        <v>7491</v>
      </c>
      <c r="AO76" s="156">
        <v>506</v>
      </c>
      <c r="AP76" s="156">
        <v>19840</v>
      </c>
      <c r="AQ76" s="156">
        <v>2814</v>
      </c>
      <c r="AR76" s="156">
        <f t="shared" si="3"/>
        <v>30651</v>
      </c>
      <c r="AS76" s="156">
        <v>69277</v>
      </c>
      <c r="AT76" s="156">
        <v>0</v>
      </c>
      <c r="AU76" s="156">
        <v>2032</v>
      </c>
      <c r="AV76" s="156">
        <v>2329</v>
      </c>
      <c r="AW76" s="156"/>
      <c r="AX76" s="156">
        <v>0</v>
      </c>
      <c r="AY76" s="156">
        <v>7841</v>
      </c>
      <c r="AZ76" s="156">
        <v>0</v>
      </c>
      <c r="BA76" s="156">
        <f t="shared" si="4"/>
        <v>81479</v>
      </c>
      <c r="BB76" s="156"/>
      <c r="BC76" s="156"/>
      <c r="BD76" s="156"/>
      <c r="BE76" s="156">
        <f t="shared" si="5"/>
        <v>0</v>
      </c>
      <c r="BF76" s="156">
        <v>0</v>
      </c>
      <c r="BG76" s="156">
        <f t="shared" si="6"/>
        <v>560542.98</v>
      </c>
      <c r="DD76" s="175"/>
      <c r="DE76" s="126" t="s">
        <v>33</v>
      </c>
      <c r="DF76" s="126" t="s">
        <v>33</v>
      </c>
      <c r="DG76" s="126" t="s">
        <v>33</v>
      </c>
      <c r="DH76" s="126" t="s">
        <v>33</v>
      </c>
      <c r="DI76" s="176"/>
      <c r="DJ76" s="126" t="s">
        <v>33</v>
      </c>
      <c r="DK76" s="126" t="s">
        <v>33</v>
      </c>
      <c r="DL76" s="126" t="s">
        <v>33</v>
      </c>
      <c r="DM76" s="126" t="s">
        <v>33</v>
      </c>
      <c r="DN76" s="126" t="s">
        <v>33</v>
      </c>
      <c r="DO76" s="126" t="s">
        <v>33</v>
      </c>
      <c r="DP76" s="126" t="s">
        <v>33</v>
      </c>
      <c r="DQ76" s="126" t="s">
        <v>33</v>
      </c>
      <c r="DR76" s="161"/>
      <c r="DS76" s="126" t="s">
        <v>33</v>
      </c>
      <c r="DT76" s="122">
        <f t="shared" si="7"/>
        <v>0</v>
      </c>
    </row>
    <row r="77" spans="1:124" ht="12">
      <c r="A77" s="128" t="s">
        <v>506</v>
      </c>
      <c r="B77" s="128">
        <v>2028</v>
      </c>
      <c r="C77" s="156"/>
      <c r="D77" s="172">
        <v>0</v>
      </c>
      <c r="E77" s="172">
        <v>0</v>
      </c>
      <c r="F77" s="172">
        <v>0</v>
      </c>
      <c r="G77" s="172">
        <v>0</v>
      </c>
      <c r="H77" s="172">
        <v>55</v>
      </c>
      <c r="I77" s="172">
        <v>65</v>
      </c>
      <c r="J77" s="172">
        <v>56</v>
      </c>
      <c r="K77" s="172">
        <v>50</v>
      </c>
      <c r="L77" s="156"/>
      <c r="M77" s="156"/>
      <c r="N77" s="156"/>
      <c r="O77" s="156"/>
      <c r="P77" s="156"/>
      <c r="Q77" s="173">
        <v>12</v>
      </c>
      <c r="R77" s="157"/>
      <c r="S77" s="159"/>
      <c r="T77" s="172">
        <f t="shared" si="8"/>
        <v>238</v>
      </c>
      <c r="U77" s="156">
        <f t="shared" si="0"/>
        <v>426014.89</v>
      </c>
      <c r="V77" s="156">
        <v>0</v>
      </c>
      <c r="W77" s="156"/>
      <c r="X77" s="156">
        <v>0</v>
      </c>
      <c r="Y77" s="156"/>
      <c r="Z77" s="156"/>
      <c r="AA77" s="156">
        <f t="shared" si="1"/>
        <v>0</v>
      </c>
      <c r="AB77" s="156"/>
      <c r="AC77" s="160"/>
      <c r="AD77" s="156">
        <v>3823</v>
      </c>
      <c r="AE77" s="156"/>
      <c r="AF77" s="156">
        <v>7604</v>
      </c>
      <c r="AG77" s="156">
        <v>665</v>
      </c>
      <c r="AH77" s="156">
        <v>2782</v>
      </c>
      <c r="AI77" s="156"/>
      <c r="AJ77" s="156">
        <v>76653</v>
      </c>
      <c r="AK77" s="156">
        <f t="shared" si="2"/>
        <v>91527</v>
      </c>
      <c r="AL77" s="156">
        <v>0</v>
      </c>
      <c r="AM77" s="156">
        <v>0</v>
      </c>
      <c r="AN77" s="156">
        <v>10825</v>
      </c>
      <c r="AO77" s="156">
        <v>978</v>
      </c>
      <c r="AP77" s="156">
        <v>24215</v>
      </c>
      <c r="AQ77" s="156">
        <v>5011</v>
      </c>
      <c r="AR77" s="156">
        <f t="shared" si="3"/>
        <v>41029</v>
      </c>
      <c r="AS77" s="156">
        <v>68642</v>
      </c>
      <c r="AT77" s="156">
        <v>0</v>
      </c>
      <c r="AU77" s="156">
        <v>2416</v>
      </c>
      <c r="AV77" s="156">
        <v>0</v>
      </c>
      <c r="AW77" s="156"/>
      <c r="AX77" s="156">
        <v>0</v>
      </c>
      <c r="AY77" s="156">
        <v>7791</v>
      </c>
      <c r="AZ77" s="156">
        <v>0</v>
      </c>
      <c r="BA77" s="156">
        <f t="shared" si="4"/>
        <v>78849</v>
      </c>
      <c r="BB77" s="156"/>
      <c r="BC77" s="156"/>
      <c r="BD77" s="156"/>
      <c r="BE77" s="156">
        <f t="shared" si="5"/>
        <v>0</v>
      </c>
      <c r="BF77" s="156">
        <v>0</v>
      </c>
      <c r="BG77" s="156">
        <f t="shared" si="6"/>
        <v>637419.89</v>
      </c>
      <c r="DD77" s="175"/>
      <c r="DE77" s="126" t="s">
        <v>33</v>
      </c>
      <c r="DF77" s="126" t="s">
        <v>33</v>
      </c>
      <c r="DG77" s="126" t="s">
        <v>33</v>
      </c>
      <c r="DH77" s="126" t="s">
        <v>33</v>
      </c>
      <c r="DI77" s="176"/>
      <c r="DJ77" s="126" t="s">
        <v>33</v>
      </c>
      <c r="DK77" s="126" t="s">
        <v>33</v>
      </c>
      <c r="DL77" s="126" t="s">
        <v>33</v>
      </c>
      <c r="DM77" s="126" t="s">
        <v>33</v>
      </c>
      <c r="DN77" s="126" t="s">
        <v>33</v>
      </c>
      <c r="DO77" s="126" t="s">
        <v>33</v>
      </c>
      <c r="DP77" s="126" t="s">
        <v>33</v>
      </c>
      <c r="DQ77" s="126" t="s">
        <v>33</v>
      </c>
      <c r="DR77" s="161"/>
      <c r="DS77" s="126" t="s">
        <v>33</v>
      </c>
      <c r="DT77" s="122">
        <f t="shared" si="7"/>
        <v>0</v>
      </c>
    </row>
    <row r="78" spans="1:124" ht="12">
      <c r="A78" s="128" t="s">
        <v>507</v>
      </c>
      <c r="B78" s="128">
        <v>2066</v>
      </c>
      <c r="C78" s="156"/>
      <c r="D78" s="172">
        <v>10</v>
      </c>
      <c r="E78" s="172">
        <v>29</v>
      </c>
      <c r="F78" s="172">
        <v>36</v>
      </c>
      <c r="G78" s="172">
        <v>30</v>
      </c>
      <c r="H78" s="172">
        <v>28</v>
      </c>
      <c r="I78" s="172">
        <v>35</v>
      </c>
      <c r="J78" s="172">
        <v>39</v>
      </c>
      <c r="K78" s="172">
        <v>46</v>
      </c>
      <c r="L78" s="156"/>
      <c r="M78" s="156"/>
      <c r="N78" s="156"/>
      <c r="O78" s="156"/>
      <c r="P78" s="156"/>
      <c r="Q78" s="173">
        <v>6</v>
      </c>
      <c r="R78" s="157"/>
      <c r="S78" s="159"/>
      <c r="T78" s="172">
        <f t="shared" si="8"/>
        <v>259</v>
      </c>
      <c r="U78" s="156">
        <f t="shared" si="0"/>
        <v>475187.9</v>
      </c>
      <c r="V78" s="156">
        <v>24533</v>
      </c>
      <c r="W78" s="156"/>
      <c r="X78" s="156">
        <v>17066</v>
      </c>
      <c r="Y78" s="156"/>
      <c r="Z78" s="156"/>
      <c r="AA78" s="156">
        <f t="shared" si="1"/>
        <v>41599</v>
      </c>
      <c r="AB78" s="156"/>
      <c r="AC78" s="160"/>
      <c r="AD78" s="156">
        <v>39178</v>
      </c>
      <c r="AE78" s="156"/>
      <c r="AF78" s="156">
        <v>26274</v>
      </c>
      <c r="AG78" s="156">
        <v>2297</v>
      </c>
      <c r="AH78" s="156">
        <v>11631</v>
      </c>
      <c r="AI78" s="156"/>
      <c r="AJ78" s="156">
        <v>97404</v>
      </c>
      <c r="AK78" s="156">
        <f t="shared" si="2"/>
        <v>176784</v>
      </c>
      <c r="AL78" s="156">
        <v>0</v>
      </c>
      <c r="AM78" s="156">
        <v>0</v>
      </c>
      <c r="AN78" s="156">
        <v>11345</v>
      </c>
      <c r="AO78" s="156">
        <v>1210</v>
      </c>
      <c r="AP78" s="156">
        <v>38776</v>
      </c>
      <c r="AQ78" s="156">
        <v>5002</v>
      </c>
      <c r="AR78" s="156">
        <f t="shared" si="3"/>
        <v>56333</v>
      </c>
      <c r="AS78" s="156">
        <v>69277</v>
      </c>
      <c r="AT78" s="156">
        <v>0</v>
      </c>
      <c r="AU78" s="156">
        <v>944</v>
      </c>
      <c r="AV78" s="156">
        <v>1135</v>
      </c>
      <c r="AW78" s="156"/>
      <c r="AX78" s="156">
        <v>0</v>
      </c>
      <c r="AY78" s="156">
        <v>9226</v>
      </c>
      <c r="AZ78" s="156">
        <v>6000</v>
      </c>
      <c r="BA78" s="156">
        <f t="shared" si="4"/>
        <v>86582</v>
      </c>
      <c r="BB78" s="156"/>
      <c r="BC78" s="156"/>
      <c r="BD78" s="156"/>
      <c r="BE78" s="156">
        <f t="shared" si="5"/>
        <v>0</v>
      </c>
      <c r="BF78" s="156">
        <v>0</v>
      </c>
      <c r="BG78" s="156">
        <f t="shared" si="6"/>
        <v>836485.9</v>
      </c>
      <c r="DD78" s="175"/>
      <c r="DE78" s="126" t="s">
        <v>33</v>
      </c>
      <c r="DF78" s="126" t="s">
        <v>33</v>
      </c>
      <c r="DG78" s="126" t="s">
        <v>33</v>
      </c>
      <c r="DH78" s="126" t="s">
        <v>33</v>
      </c>
      <c r="DI78" s="176"/>
      <c r="DJ78" s="126" t="s">
        <v>33</v>
      </c>
      <c r="DK78" s="126" t="s">
        <v>33</v>
      </c>
      <c r="DL78" s="126" t="s">
        <v>33</v>
      </c>
      <c r="DM78" s="126" t="s">
        <v>33</v>
      </c>
      <c r="DN78" s="126" t="s">
        <v>33</v>
      </c>
      <c r="DO78" s="126" t="s">
        <v>33</v>
      </c>
      <c r="DP78" s="126" t="s">
        <v>33</v>
      </c>
      <c r="DQ78" s="126" t="s">
        <v>33</v>
      </c>
      <c r="DR78" s="161"/>
      <c r="DS78" s="126" t="s">
        <v>33</v>
      </c>
      <c r="DT78" s="122">
        <f t="shared" si="7"/>
        <v>0</v>
      </c>
    </row>
    <row r="79" spans="1:124" ht="12">
      <c r="A79" s="128" t="s">
        <v>508</v>
      </c>
      <c r="B79" s="128">
        <v>2026</v>
      </c>
      <c r="C79" s="156"/>
      <c r="D79" s="172">
        <v>15</v>
      </c>
      <c r="E79" s="172">
        <v>58</v>
      </c>
      <c r="F79" s="172">
        <v>34</v>
      </c>
      <c r="G79" s="172">
        <v>59</v>
      </c>
      <c r="H79" s="172">
        <v>0</v>
      </c>
      <c r="I79" s="172">
        <v>0</v>
      </c>
      <c r="J79" s="172">
        <v>0</v>
      </c>
      <c r="K79" s="172">
        <v>0</v>
      </c>
      <c r="L79" s="156"/>
      <c r="M79" s="156"/>
      <c r="N79" s="156"/>
      <c r="O79" s="156"/>
      <c r="P79" s="156"/>
      <c r="Q79" s="173">
        <v>0</v>
      </c>
      <c r="R79" s="157"/>
      <c r="S79" s="159"/>
      <c r="T79" s="172">
        <f t="shared" si="8"/>
        <v>166</v>
      </c>
      <c r="U79" s="156">
        <f>IF(ISERROR($C$10*C79),0,$C$10*C79)+IF(ISERROR($D$10*D79),0,$D$10*D79)+IF(ISERROR($E$10*E79),0,$E$10*E79)+IF(ISERROR($F$10*F79),0,$F$10*F79)+IF(ISERROR($G$10*G79),0,$G$10*G79)+IF(ISERROR($H$10*H79),0,$H$10*H79)+IF(ISERROR($I$10*I79),0,$I$10*I79)+IF(ISERROR($J$10*J79),0,$J$10*J79)+IF(ISERROR($K$10*K79),0,$K$10*K79)+IF(ISERROR($L$10*L79),0,$L$10*L79)+IF(ISERROR($M$10*M79),0,$M$10*M79)+IF(ISERROR($N$10*N79),0,$N$10*N79)+IF(ISERROR($O$10*O79),0,$O$10*O79)+IF(ISERROR($P$10*P79),0,$P$10*P79)</f>
        <v>318469.31000000006</v>
      </c>
      <c r="V79" s="156">
        <v>33065</v>
      </c>
      <c r="W79" s="156"/>
      <c r="X79" s="156">
        <v>18133</v>
      </c>
      <c r="Y79" s="156"/>
      <c r="Z79" s="156"/>
      <c r="AA79" s="156">
        <f>SUM(V79:Z79)</f>
        <v>51198</v>
      </c>
      <c r="AB79" s="156"/>
      <c r="AC79" s="160"/>
      <c r="AD79" s="156">
        <v>0</v>
      </c>
      <c r="AE79" s="156"/>
      <c r="AF79" s="156">
        <v>5253</v>
      </c>
      <c r="AG79" s="156">
        <v>460</v>
      </c>
      <c r="AH79" s="156">
        <v>1390</v>
      </c>
      <c r="AI79" s="156"/>
      <c r="AJ79" s="156">
        <v>0</v>
      </c>
      <c r="AK79" s="156">
        <f>SUM(AD79:AJ79)</f>
        <v>7103</v>
      </c>
      <c r="AL79" s="156">
        <v>0</v>
      </c>
      <c r="AM79" s="156">
        <v>0</v>
      </c>
      <c r="AN79" s="156">
        <v>6971</v>
      </c>
      <c r="AO79" s="156">
        <v>777</v>
      </c>
      <c r="AP79" s="156">
        <v>20604</v>
      </c>
      <c r="AQ79" s="156">
        <v>1290</v>
      </c>
      <c r="AR79" s="156">
        <f>SUM(AN79:AQ79)</f>
        <v>29642</v>
      </c>
      <c r="AS79" s="156">
        <v>69277</v>
      </c>
      <c r="AT79" s="156">
        <v>0</v>
      </c>
      <c r="AU79" s="156">
        <v>2000</v>
      </c>
      <c r="AV79" s="156">
        <v>16359</v>
      </c>
      <c r="AW79" s="156"/>
      <c r="AX79" s="156">
        <v>0</v>
      </c>
      <c r="AY79" s="156">
        <v>2140</v>
      </c>
      <c r="AZ79" s="156">
        <v>0</v>
      </c>
      <c r="BA79" s="156">
        <f>SUM(AS79:AZ79)</f>
        <v>89776</v>
      </c>
      <c r="BB79" s="156"/>
      <c r="BC79" s="156"/>
      <c r="BD79" s="156"/>
      <c r="BE79" s="156">
        <f>SUM(BB79:BD79)</f>
        <v>0</v>
      </c>
      <c r="BF79" s="156">
        <v>0</v>
      </c>
      <c r="BG79" s="156">
        <f>IF(ISERROR(SUM(U79,AA79,AC79,AK79,AL79,AM79,AR79,BA79,BE79,BF79)),0,SUM(U79,AA79,AC79,AK79,AL79,AM79,AR79,BA79,BE79,BF79))</f>
        <v>496188.31000000006</v>
      </c>
      <c r="DD79" s="175"/>
      <c r="DE79" s="126" t="s">
        <v>33</v>
      </c>
      <c r="DF79" s="126" t="s">
        <v>33</v>
      </c>
      <c r="DG79" s="126" t="s">
        <v>33</v>
      </c>
      <c r="DH79" s="126" t="s">
        <v>33</v>
      </c>
      <c r="DI79" s="176"/>
      <c r="DJ79" s="126" t="s">
        <v>33</v>
      </c>
      <c r="DK79" s="126" t="s">
        <v>33</v>
      </c>
      <c r="DL79" s="126" t="s">
        <v>33</v>
      </c>
      <c r="DM79" s="126" t="s">
        <v>33</v>
      </c>
      <c r="DN79" s="126" t="s">
        <v>33</v>
      </c>
      <c r="DO79" s="126" t="s">
        <v>33</v>
      </c>
      <c r="DP79" s="126" t="s">
        <v>33</v>
      </c>
      <c r="DQ79" s="126" t="s">
        <v>33</v>
      </c>
      <c r="DR79" s="161"/>
      <c r="DS79" s="126" t="s">
        <v>33</v>
      </c>
      <c r="DT79" s="122">
        <f>IF(LEN(TRIM(DE79&amp;DF79&amp;DG79&amp;DH79&amp;DI79&amp;DJ79&amp;DK79&amp;DL79&amp;DM79&amp;DN79&amp;DO79&amp;DP79&amp;DQ79&amp;DS79))&gt;0,1,0)</f>
        <v>0</v>
      </c>
    </row>
    <row r="80" spans="1:124" ht="12">
      <c r="A80" s="128" t="s">
        <v>509</v>
      </c>
      <c r="B80" s="128">
        <v>2033</v>
      </c>
      <c r="C80" s="156"/>
      <c r="D80" s="172">
        <v>10</v>
      </c>
      <c r="E80" s="172">
        <v>20</v>
      </c>
      <c r="F80" s="172">
        <v>26</v>
      </c>
      <c r="G80" s="172">
        <v>19</v>
      </c>
      <c r="H80" s="172">
        <v>29</v>
      </c>
      <c r="I80" s="172">
        <v>29</v>
      </c>
      <c r="J80" s="172">
        <v>30</v>
      </c>
      <c r="K80" s="172">
        <v>27</v>
      </c>
      <c r="L80" s="156"/>
      <c r="M80" s="156"/>
      <c r="N80" s="156"/>
      <c r="O80" s="156"/>
      <c r="P80" s="156"/>
      <c r="Q80" s="173">
        <v>0</v>
      </c>
      <c r="R80" s="157"/>
      <c r="S80" s="159"/>
      <c r="T80" s="172">
        <f>SUM(C80:Q80)</f>
        <v>190</v>
      </c>
      <c r="U80" s="156">
        <f>IF(ISERROR($C$10*C80),0,$C$10*C80)+IF(ISERROR($D$10*D80),0,$D$10*D80)+IF(ISERROR($E$10*E80),0,$E$10*E80)+IF(ISERROR($F$10*F80),0,$F$10*F80)+IF(ISERROR($G$10*G80),0,$G$10*G80)+IF(ISERROR($H$10*H80),0,$H$10*H80)+IF(ISERROR($I$10*I80),0,$I$10*I80)+IF(ISERROR($J$10*J80),0,$J$10*J80)+IF(ISERROR($K$10*K80),0,$K$10*K80)+IF(ISERROR($L$10*L80),0,$L$10*L80)+IF(ISERROR($M$10*M80),0,$M$10*M80)+IF(ISERROR($N$10*N80),0,$N$10*N80)+IF(ISERROR($O$10*O80),0,$O$10*O80)+IF(ISERROR($P$10*P80),0,$P$10*P80)</f>
        <v>353133.80000000005</v>
      </c>
      <c r="V80" s="156">
        <v>24533</v>
      </c>
      <c r="W80" s="156"/>
      <c r="X80" s="156">
        <v>20266</v>
      </c>
      <c r="Y80" s="156"/>
      <c r="Z80" s="156"/>
      <c r="AA80" s="156">
        <f>SUM(V80:Z80)</f>
        <v>44799</v>
      </c>
      <c r="AB80" s="156"/>
      <c r="AC80" s="160"/>
      <c r="AD80" s="156">
        <v>12424</v>
      </c>
      <c r="AE80" s="156"/>
      <c r="AF80" s="156">
        <v>16654</v>
      </c>
      <c r="AG80" s="156">
        <v>1456</v>
      </c>
      <c r="AH80" s="156">
        <v>4045</v>
      </c>
      <c r="AI80" s="156"/>
      <c r="AJ80" s="156">
        <v>0</v>
      </c>
      <c r="AK80" s="156">
        <f>SUM(AD80:AJ80)</f>
        <v>34579</v>
      </c>
      <c r="AL80" s="156">
        <v>0</v>
      </c>
      <c r="AM80" s="156">
        <v>0</v>
      </c>
      <c r="AN80" s="156">
        <v>6820</v>
      </c>
      <c r="AO80" s="156">
        <v>849</v>
      </c>
      <c r="AP80" s="156">
        <v>21646</v>
      </c>
      <c r="AQ80" s="156">
        <v>3492</v>
      </c>
      <c r="AR80" s="156">
        <f>SUM(AN80:AQ80)</f>
        <v>32807</v>
      </c>
      <c r="AS80" s="156">
        <v>69277</v>
      </c>
      <c r="AT80" s="156">
        <v>0</v>
      </c>
      <c r="AU80" s="156">
        <v>1376</v>
      </c>
      <c r="AV80" s="156">
        <v>27318</v>
      </c>
      <c r="AW80" s="156"/>
      <c r="AX80" s="156">
        <v>0</v>
      </c>
      <c r="AY80" s="156">
        <v>6304</v>
      </c>
      <c r="AZ80" s="156">
        <v>0</v>
      </c>
      <c r="BA80" s="156">
        <f>SUM(AS80:AZ80)</f>
        <v>104275</v>
      </c>
      <c r="BB80" s="156"/>
      <c r="BC80" s="156"/>
      <c r="BD80" s="156"/>
      <c r="BE80" s="156">
        <f>SUM(BB80:BD80)</f>
        <v>0</v>
      </c>
      <c r="BF80" s="156">
        <v>0</v>
      </c>
      <c r="BG80" s="156">
        <f>IF(ISERROR(SUM(U80,AA80,AC80,AK80,AL80,AM80,AR80,BA80,BE80,BF80)),0,SUM(U80,AA80,AC80,AK80,AL80,AM80,AR80,BA80,BE80,BF80))</f>
        <v>569593.8</v>
      </c>
      <c r="DD80" s="175"/>
      <c r="DE80" s="126" t="s">
        <v>33</v>
      </c>
      <c r="DF80" s="126" t="s">
        <v>33</v>
      </c>
      <c r="DG80" s="126" t="s">
        <v>33</v>
      </c>
      <c r="DH80" s="126" t="s">
        <v>33</v>
      </c>
      <c r="DI80" s="176"/>
      <c r="DJ80" s="126" t="s">
        <v>33</v>
      </c>
      <c r="DK80" s="126" t="s">
        <v>33</v>
      </c>
      <c r="DL80" s="126" t="s">
        <v>33</v>
      </c>
      <c r="DM80" s="126" t="s">
        <v>33</v>
      </c>
      <c r="DN80" s="126" t="s">
        <v>33</v>
      </c>
      <c r="DO80" s="126" t="s">
        <v>33</v>
      </c>
      <c r="DP80" s="126" t="s">
        <v>33</v>
      </c>
      <c r="DQ80" s="126" t="s">
        <v>33</v>
      </c>
      <c r="DR80" s="161"/>
      <c r="DS80" s="126" t="s">
        <v>33</v>
      </c>
      <c r="DT80" s="122">
        <f>IF(LEN(TRIM(DE80&amp;DF80&amp;DG80&amp;DH80&amp;DI80&amp;DJ80&amp;DK80&amp;DL80&amp;DM80&amp;DN80&amp;DO80&amp;DP80&amp;DQ80&amp;DS80))&gt;0,1,0)</f>
        <v>0</v>
      </c>
    </row>
    <row r="81" spans="1:124" ht="12">
      <c r="A81" s="128" t="s">
        <v>510</v>
      </c>
      <c r="B81" s="128">
        <v>2088</v>
      </c>
      <c r="C81" s="156"/>
      <c r="D81" s="172">
        <v>15</v>
      </c>
      <c r="E81" s="172">
        <v>42</v>
      </c>
      <c r="F81" s="172">
        <v>38</v>
      </c>
      <c r="G81" s="172">
        <v>40</v>
      </c>
      <c r="H81" s="172">
        <v>42</v>
      </c>
      <c r="I81" s="172">
        <v>46</v>
      </c>
      <c r="J81" s="172">
        <v>42</v>
      </c>
      <c r="K81" s="172">
        <v>51</v>
      </c>
      <c r="L81" s="156"/>
      <c r="M81" s="156"/>
      <c r="N81" s="156"/>
      <c r="O81" s="156"/>
      <c r="P81" s="156"/>
      <c r="Q81" s="173">
        <v>0</v>
      </c>
      <c r="R81" s="157"/>
      <c r="S81" s="159"/>
      <c r="T81" s="172">
        <f>SUM(C81:Q81)</f>
        <v>316</v>
      </c>
      <c r="U81" s="156">
        <f>IF(ISERROR($C$10*C81),0,$C$10*C81)+IF(ISERROR($D$10*D81),0,$D$10*D81)+IF(ISERROR($E$10*E81),0,$E$10*E81)+IF(ISERROR($F$10*F81),0,$F$10*F81)+IF(ISERROR($G$10*G81),0,$G$10*G81)+IF(ISERROR($H$10*H81),0,$H$10*H81)+IF(ISERROR($I$10*I81),0,$I$10*I81)+IF(ISERROR($J$10*J81),0,$J$10*J81)+IF(ISERROR($K$10*K81),0,$K$10*K81)+IF(ISERROR($L$10*L81),0,$L$10*L81)+IF(ISERROR($M$10*M81),0,$M$10*M81)+IF(ISERROR($N$10*N81),0,$N$10*N81)+IF(ISERROR($O$10*O81),0,$O$10*O81)+IF(ISERROR($P$10*P81),0,$P$10*P81)</f>
        <v>593543.08</v>
      </c>
      <c r="V81" s="156">
        <v>33065</v>
      </c>
      <c r="W81" s="156"/>
      <c r="X81" s="156">
        <v>22400</v>
      </c>
      <c r="Y81" s="156"/>
      <c r="Z81" s="156"/>
      <c r="AA81" s="156">
        <f>SUM(V81:Z81)</f>
        <v>55465</v>
      </c>
      <c r="AB81" s="156"/>
      <c r="AC81" s="160"/>
      <c r="AD81" s="156">
        <v>39184</v>
      </c>
      <c r="AE81" s="156"/>
      <c r="AF81" s="156">
        <v>42926</v>
      </c>
      <c r="AG81" s="156">
        <v>3755</v>
      </c>
      <c r="AH81" s="156">
        <v>17192</v>
      </c>
      <c r="AI81" s="156"/>
      <c r="AJ81" s="156">
        <v>0</v>
      </c>
      <c r="AK81" s="156">
        <f>SUM(AD81:AJ81)</f>
        <v>103057</v>
      </c>
      <c r="AL81" s="156">
        <v>0</v>
      </c>
      <c r="AM81" s="156">
        <v>0</v>
      </c>
      <c r="AN81" s="156">
        <v>12232</v>
      </c>
      <c r="AO81" s="156">
        <v>1235</v>
      </c>
      <c r="AP81" s="156">
        <v>38637</v>
      </c>
      <c r="AQ81" s="156">
        <v>5615</v>
      </c>
      <c r="AR81" s="156">
        <f>SUM(AN81:AQ81)</f>
        <v>57719</v>
      </c>
      <c r="AS81" s="156">
        <v>69277</v>
      </c>
      <c r="AT81" s="156">
        <v>0</v>
      </c>
      <c r="AU81" s="156">
        <v>1440</v>
      </c>
      <c r="AV81" s="156">
        <v>0</v>
      </c>
      <c r="AW81" s="156"/>
      <c r="AX81" s="156">
        <v>0</v>
      </c>
      <c r="AY81" s="156">
        <v>19698</v>
      </c>
      <c r="AZ81" s="156">
        <v>6000</v>
      </c>
      <c r="BA81" s="156">
        <f>SUM(AS81:AZ81)</f>
        <v>96415</v>
      </c>
      <c r="BB81" s="156"/>
      <c r="BC81" s="156"/>
      <c r="BD81" s="156"/>
      <c r="BE81" s="156">
        <f>SUM(BB81:BD81)</f>
        <v>0</v>
      </c>
      <c r="BF81" s="156">
        <v>3589</v>
      </c>
      <c r="BG81" s="156">
        <f>IF(ISERROR(SUM(U81,AA81,AC81,AK81,AL81,AM81,AR81,BA81,BE81,BF81)),0,SUM(U81,AA81,AC81,AK81,AL81,AM81,AR81,BA81,BE81,BF81))</f>
        <v>909788.08</v>
      </c>
      <c r="DD81" s="175"/>
      <c r="DE81" s="126" t="s">
        <v>33</v>
      </c>
      <c r="DF81" s="126" t="s">
        <v>33</v>
      </c>
      <c r="DG81" s="126" t="s">
        <v>33</v>
      </c>
      <c r="DH81" s="126" t="s">
        <v>33</v>
      </c>
      <c r="DI81" s="176"/>
      <c r="DJ81" s="126" t="s">
        <v>33</v>
      </c>
      <c r="DK81" s="126" t="s">
        <v>33</v>
      </c>
      <c r="DL81" s="126" t="s">
        <v>33</v>
      </c>
      <c r="DM81" s="126" t="s">
        <v>33</v>
      </c>
      <c r="DN81" s="126" t="s">
        <v>33</v>
      </c>
      <c r="DO81" s="126" t="s">
        <v>33</v>
      </c>
      <c r="DP81" s="126" t="s">
        <v>33</v>
      </c>
      <c r="DQ81" s="126" t="s">
        <v>33</v>
      </c>
      <c r="DR81" s="161"/>
      <c r="DS81" s="126" t="s">
        <v>33</v>
      </c>
      <c r="DT81" s="122">
        <f>IF(LEN(TRIM(DE81&amp;DF81&amp;DG81&amp;DH81&amp;DI81&amp;DJ81&amp;DK81&amp;DL81&amp;DM81&amp;DN81&amp;DO81&amp;DP81&amp;DQ81&amp;DS81))&gt;0,1,0)</f>
        <v>0</v>
      </c>
    </row>
    <row r="82" spans="1:122" ht="12.75" customHeight="1" thickBot="1">
      <c r="A82" s="177"/>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c r="BB82" s="177"/>
      <c r="BC82" s="177"/>
      <c r="BD82" s="177"/>
      <c r="BE82" s="177"/>
      <c r="BF82" s="177"/>
      <c r="BG82" s="177"/>
      <c r="DD82" s="162"/>
      <c r="DR82" s="162"/>
    </row>
    <row r="83" spans="1:124" ht="13.5" thickBot="1" thickTop="1">
      <c r="A83" s="697" t="s">
        <v>623</v>
      </c>
      <c r="B83" s="697"/>
      <c r="C83" s="164">
        <f aca="true" t="shared" si="9" ref="C83:Q83">SUM(C15:C82)</f>
        <v>0</v>
      </c>
      <c r="D83" s="164">
        <f t="shared" si="9"/>
        <v>1076.6666666666665</v>
      </c>
      <c r="E83" s="164">
        <f t="shared" si="9"/>
        <v>2382</v>
      </c>
      <c r="F83" s="164">
        <f t="shared" si="9"/>
        <v>2415</v>
      </c>
      <c r="G83" s="164">
        <f t="shared" si="9"/>
        <v>2536</v>
      </c>
      <c r="H83" s="164">
        <f t="shared" si="9"/>
        <v>2497</v>
      </c>
      <c r="I83" s="164">
        <f t="shared" si="9"/>
        <v>2642</v>
      </c>
      <c r="J83" s="164">
        <f t="shared" si="9"/>
        <v>2688</v>
      </c>
      <c r="K83" s="164">
        <f t="shared" si="9"/>
        <v>2706</v>
      </c>
      <c r="L83" s="164">
        <f t="shared" si="9"/>
        <v>0</v>
      </c>
      <c r="M83" s="164">
        <f t="shared" si="9"/>
        <v>0</v>
      </c>
      <c r="N83" s="164">
        <f t="shared" si="9"/>
        <v>0</v>
      </c>
      <c r="O83" s="164">
        <f t="shared" si="9"/>
        <v>0</v>
      </c>
      <c r="P83" s="178">
        <f t="shared" si="9"/>
        <v>0</v>
      </c>
      <c r="Q83" s="178">
        <f t="shared" si="9"/>
        <v>62</v>
      </c>
      <c r="R83" s="165"/>
      <c r="S83" s="167"/>
      <c r="T83" s="178">
        <f aca="true" t="shared" si="10" ref="T83:AB83">SUM(T15:T82)</f>
        <v>19004.666666666664</v>
      </c>
      <c r="U83" s="164">
        <f t="shared" si="10"/>
        <v>35264188.86</v>
      </c>
      <c r="V83" s="164">
        <f t="shared" si="10"/>
        <v>2462716</v>
      </c>
      <c r="W83" s="164">
        <f t="shared" si="10"/>
        <v>0</v>
      </c>
      <c r="X83" s="164">
        <f t="shared" si="10"/>
        <v>594128</v>
      </c>
      <c r="Y83" s="164">
        <f t="shared" si="10"/>
        <v>0</v>
      </c>
      <c r="Z83" s="164">
        <f t="shared" si="10"/>
        <v>0</v>
      </c>
      <c r="AA83" s="164">
        <f t="shared" si="10"/>
        <v>3056844</v>
      </c>
      <c r="AB83" s="164">
        <f t="shared" si="10"/>
        <v>0</v>
      </c>
      <c r="AC83" s="168"/>
      <c r="AD83" s="164">
        <f>SUM(AD15:AD82)</f>
        <v>1237835</v>
      </c>
      <c r="AE83" s="164"/>
      <c r="AF83" s="164">
        <f aca="true" t="shared" si="11" ref="AF83:BG83">SUM(AF15:AF82)</f>
        <v>968011</v>
      </c>
      <c r="AG83" s="164">
        <f t="shared" si="11"/>
        <v>84668</v>
      </c>
      <c r="AH83" s="164">
        <f t="shared" si="11"/>
        <v>283801</v>
      </c>
      <c r="AI83" s="164">
        <f t="shared" si="11"/>
        <v>0</v>
      </c>
      <c r="AJ83" s="164">
        <f t="shared" si="11"/>
        <v>390953</v>
      </c>
      <c r="AK83" s="164">
        <f t="shared" si="11"/>
        <v>2965268</v>
      </c>
      <c r="AL83" s="164">
        <f t="shared" si="11"/>
        <v>0</v>
      </c>
      <c r="AM83" s="164">
        <f t="shared" si="11"/>
        <v>0</v>
      </c>
      <c r="AN83" s="164">
        <f t="shared" si="11"/>
        <v>665943</v>
      </c>
      <c r="AO83" s="164">
        <f t="shared" si="11"/>
        <v>80229</v>
      </c>
      <c r="AP83" s="164">
        <f t="shared" si="11"/>
        <v>2081233</v>
      </c>
      <c r="AQ83" s="164">
        <f t="shared" si="11"/>
        <v>259046</v>
      </c>
      <c r="AR83" s="164">
        <f t="shared" si="11"/>
        <v>3086451</v>
      </c>
      <c r="AS83" s="164">
        <f t="shared" si="11"/>
        <v>4633939</v>
      </c>
      <c r="AT83" s="164">
        <f t="shared" si="11"/>
        <v>31243</v>
      </c>
      <c r="AU83" s="164">
        <f t="shared" si="11"/>
        <v>208304</v>
      </c>
      <c r="AV83" s="164">
        <f t="shared" si="11"/>
        <v>557030</v>
      </c>
      <c r="AW83" s="164">
        <f t="shared" si="11"/>
        <v>0</v>
      </c>
      <c r="AX83" s="164">
        <f t="shared" si="11"/>
        <v>100396</v>
      </c>
      <c r="AY83" s="164">
        <f t="shared" si="11"/>
        <v>579416</v>
      </c>
      <c r="AZ83" s="164">
        <f t="shared" si="11"/>
        <v>66000</v>
      </c>
      <c r="BA83" s="164">
        <f t="shared" si="11"/>
        <v>6176328</v>
      </c>
      <c r="BB83" s="164">
        <f t="shared" si="11"/>
        <v>0</v>
      </c>
      <c r="BC83" s="164">
        <f t="shared" si="11"/>
        <v>0</v>
      </c>
      <c r="BD83" s="164">
        <f t="shared" si="11"/>
        <v>0</v>
      </c>
      <c r="BE83" s="164">
        <f t="shared" si="11"/>
        <v>0</v>
      </c>
      <c r="BF83" s="164">
        <f t="shared" si="11"/>
        <v>18930</v>
      </c>
      <c r="BG83" s="164">
        <f t="shared" si="11"/>
        <v>50568009.86</v>
      </c>
      <c r="DD83" s="162" t="str">
        <f>A83</f>
        <v>Primary Total</v>
      </c>
      <c r="DF83" s="162"/>
      <c r="DG83" s="169">
        <v>35264188.85999999</v>
      </c>
      <c r="DH83" s="169">
        <v>3056844</v>
      </c>
      <c r="DI83" s="170"/>
      <c r="DJ83" s="169">
        <v>2965268</v>
      </c>
      <c r="DK83" s="169">
        <v>0</v>
      </c>
      <c r="DL83" s="169">
        <v>0</v>
      </c>
      <c r="DM83" s="169">
        <v>3086451</v>
      </c>
      <c r="DN83" s="169">
        <v>6176328</v>
      </c>
      <c r="DO83" s="169">
        <v>0</v>
      </c>
      <c r="DP83" s="169">
        <v>18930</v>
      </c>
      <c r="DQ83" s="169">
        <v>50568009.85999999</v>
      </c>
      <c r="DR83" s="171"/>
      <c r="DS83" s="169">
        <v>19004.666666666664</v>
      </c>
      <c r="DT83" s="122">
        <f>IF(OR(LEFT(DG83,1)="E",LEFT(DH83,1)="E",LEFT(DI83,1)="E",LEFT(DJ83,1)="E",LEFT(DK83,1)="E",LEFT(DL83,1)="E",LEFT(DM83,1)="E",LEFT(DN83,1)="E",LEFT(DO83,1)="E",LEFT(DP83,1)="E",LEFT(DQ83,1)="E",LEFT(DS83,1)="E"),1,0)</f>
        <v>0</v>
      </c>
    </row>
    <row r="84" spans="1:108" ht="12.75" thickTop="1">
      <c r="A84" s="163"/>
      <c r="B84" s="163"/>
      <c r="C84" s="177"/>
      <c r="D84" s="177"/>
      <c r="E84" s="177"/>
      <c r="F84" s="177"/>
      <c r="G84" s="177"/>
      <c r="H84" s="177"/>
      <c r="I84" s="177"/>
      <c r="J84" s="177"/>
      <c r="K84" s="177"/>
      <c r="L84" s="177"/>
      <c r="M84" s="177"/>
      <c r="N84" s="177"/>
      <c r="O84" s="177"/>
      <c r="P84" s="177"/>
      <c r="Q84" s="177"/>
      <c r="R84" s="177"/>
      <c r="S84" s="162"/>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7"/>
      <c r="BC84" s="177"/>
      <c r="BD84" s="177"/>
      <c r="BE84" s="177"/>
      <c r="BF84" s="177"/>
      <c r="BG84" s="177"/>
      <c r="DD84" s="162"/>
    </row>
    <row r="85" spans="1:108" ht="12">
      <c r="A85" s="696" t="s">
        <v>37</v>
      </c>
      <c r="B85" s="696"/>
      <c r="DD85" s="162" t="str">
        <f>A85</f>
        <v>Secondary</v>
      </c>
    </row>
    <row r="86" spans="1:124" ht="12">
      <c r="A86" s="128" t="s">
        <v>511</v>
      </c>
      <c r="B86" s="128">
        <v>4015</v>
      </c>
      <c r="C86" s="157"/>
      <c r="D86" s="158"/>
      <c r="E86" s="158"/>
      <c r="F86" s="158"/>
      <c r="G86" s="159"/>
      <c r="H86" s="156"/>
      <c r="I86" s="156"/>
      <c r="J86" s="156"/>
      <c r="K86" s="156"/>
      <c r="L86" s="156">
        <v>254</v>
      </c>
      <c r="M86" s="156">
        <v>251</v>
      </c>
      <c r="N86" s="156">
        <v>240</v>
      </c>
      <c r="O86" s="156">
        <v>251</v>
      </c>
      <c r="P86" s="156">
        <v>237</v>
      </c>
      <c r="Q86" s="156">
        <v>45</v>
      </c>
      <c r="R86" s="156"/>
      <c r="S86" s="156">
        <v>0</v>
      </c>
      <c r="T86" s="156">
        <f aca="true" t="shared" si="12" ref="T86:T98">SUM(H86:S86)</f>
        <v>1278</v>
      </c>
      <c r="U86" s="156">
        <f aca="true" t="shared" si="13" ref="U86:U98">IF(ISERROR($H$11*H86),0,$H$11*H86)+IF(ISERROR($I$11*I86),0,$I$11*I86)+IF(ISERROR($J$11*J86),0,$J$11*J86)+IF(ISERROR($K$11*K86),0,$K$11*K86)+IF(ISERROR($L$11*L86),0,$L$11*L86)+IF(ISERROR($M$11*M86),0,$M$11*M86)+IF(ISERROR($N$11*N86),0,$N$11*N86)+IF(ISERROR($O$11*O86),0,$O$11*O86)+IF(ISERROR($P$11*P86),0,$P$11*P86)+IF(ISERROR($R$11*R86),0,$R$11*R86)</f>
        <v>3213567</v>
      </c>
      <c r="V86" s="156"/>
      <c r="W86" s="156"/>
      <c r="X86" s="156"/>
      <c r="Y86" s="156"/>
      <c r="Z86" s="156"/>
      <c r="AA86" s="156">
        <f aca="true" t="shared" si="14" ref="AA86:AA98">SUM(V86:Z86)</f>
        <v>0</v>
      </c>
      <c r="AB86" s="156">
        <v>0</v>
      </c>
      <c r="AC86" s="156">
        <f aca="true" t="shared" si="15" ref="AC86:AC98">SUM(AB86)</f>
        <v>0</v>
      </c>
      <c r="AD86" s="156">
        <v>19861</v>
      </c>
      <c r="AE86" s="156">
        <v>26588</v>
      </c>
      <c r="AF86" s="156">
        <v>55105</v>
      </c>
      <c r="AG86" s="156">
        <v>6773</v>
      </c>
      <c r="AH86" s="156">
        <v>19799</v>
      </c>
      <c r="AI86" s="156"/>
      <c r="AJ86" s="156">
        <v>368186</v>
      </c>
      <c r="AK86" s="156">
        <f aca="true" t="shared" si="16" ref="AK86:AK98">SUM(AD86:AJ86)</f>
        <v>496312</v>
      </c>
      <c r="AL86" s="156">
        <v>0</v>
      </c>
      <c r="AM86" s="156">
        <v>0</v>
      </c>
      <c r="AN86" s="156">
        <v>72095</v>
      </c>
      <c r="AO86" s="156">
        <v>6557</v>
      </c>
      <c r="AP86" s="156">
        <v>181353</v>
      </c>
      <c r="AQ86" s="156">
        <v>12412</v>
      </c>
      <c r="AR86" s="156">
        <f aca="true" t="shared" si="17" ref="AR86:AR98">SUM(AN86:AQ86)</f>
        <v>272417</v>
      </c>
      <c r="AS86" s="156">
        <v>217393</v>
      </c>
      <c r="AT86" s="156">
        <v>10840</v>
      </c>
      <c r="AU86" s="156"/>
      <c r="AV86" s="156"/>
      <c r="AW86" s="156">
        <v>0</v>
      </c>
      <c r="AX86" s="156">
        <v>0</v>
      </c>
      <c r="AY86" s="156">
        <v>55361</v>
      </c>
      <c r="AZ86" s="156">
        <v>0</v>
      </c>
      <c r="BA86" s="156">
        <f aca="true" t="shared" si="18" ref="BA86:BA98">SUM(AS86:AZ86)</f>
        <v>283594</v>
      </c>
      <c r="BB86" s="156"/>
      <c r="BC86" s="156">
        <v>23696</v>
      </c>
      <c r="BD86" s="156">
        <v>0</v>
      </c>
      <c r="BE86" s="156">
        <f aca="true" t="shared" si="19" ref="BE86:BE98">SUM(BB86:BD86)</f>
        <v>23696</v>
      </c>
      <c r="BF86" s="156">
        <v>0</v>
      </c>
      <c r="BG86" s="156">
        <f aca="true" t="shared" si="20" ref="BG86:BG98">IF(ISERROR(SUM(U86,AA86,AC86,AK86,AL86,AM86,AR86,BA86,BE86,BF86)),0,SUM(U86,AA86,AC86,AK86,AL86,AM86,AR86,BA86,BE86,BF86))</f>
        <v>4289586</v>
      </c>
      <c r="DD86" s="175"/>
      <c r="DE86" s="126" t="s">
        <v>33</v>
      </c>
      <c r="DF86" s="126" t="s">
        <v>33</v>
      </c>
      <c r="DG86" s="126" t="s">
        <v>33</v>
      </c>
      <c r="DH86" s="126" t="s">
        <v>33</v>
      </c>
      <c r="DI86" s="126" t="s">
        <v>33</v>
      </c>
      <c r="DJ86" s="126" t="s">
        <v>33</v>
      </c>
      <c r="DK86" s="126" t="s">
        <v>33</v>
      </c>
      <c r="DL86" s="126" t="s">
        <v>33</v>
      </c>
      <c r="DM86" s="126" t="s">
        <v>33</v>
      </c>
      <c r="DN86" s="126" t="s">
        <v>33</v>
      </c>
      <c r="DO86" s="126" t="s">
        <v>33</v>
      </c>
      <c r="DP86" s="126" t="s">
        <v>33</v>
      </c>
      <c r="DQ86" s="126" t="s">
        <v>33</v>
      </c>
      <c r="DR86" s="126" t="s">
        <v>33</v>
      </c>
      <c r="DS86" s="126" t="s">
        <v>33</v>
      </c>
      <c r="DT86" s="122">
        <f aca="true" t="shared" si="21" ref="DT86:DT98">IF(LEN(TRIM(DE86&amp;DF86&amp;DG86&amp;DH86&amp;DI86&amp;DJ86&amp;DK86&amp;DL86&amp;DM86&amp;DN86&amp;DO86&amp;DP86&amp;DQ86&amp;DR86&amp;DS86))&gt;0,1,0)</f>
        <v>0</v>
      </c>
    </row>
    <row r="87" spans="1:124" ht="12">
      <c r="A87" s="128" t="s">
        <v>512</v>
      </c>
      <c r="B87" s="128">
        <v>4660</v>
      </c>
      <c r="C87" s="157"/>
      <c r="D87" s="158"/>
      <c r="E87" s="158"/>
      <c r="F87" s="158"/>
      <c r="G87" s="159"/>
      <c r="H87" s="156"/>
      <c r="I87" s="156"/>
      <c r="J87" s="156"/>
      <c r="K87" s="156"/>
      <c r="L87" s="156">
        <v>203</v>
      </c>
      <c r="M87" s="156">
        <v>172</v>
      </c>
      <c r="N87" s="156">
        <v>221</v>
      </c>
      <c r="O87" s="156">
        <v>213</v>
      </c>
      <c r="P87" s="156">
        <v>219</v>
      </c>
      <c r="Q87" s="156">
        <v>0</v>
      </c>
      <c r="R87" s="156"/>
      <c r="S87" s="156">
        <v>146</v>
      </c>
      <c r="T87" s="156">
        <f t="shared" si="12"/>
        <v>1174</v>
      </c>
      <c r="U87" s="156">
        <f t="shared" si="13"/>
        <v>2693014.6900000004</v>
      </c>
      <c r="V87" s="156"/>
      <c r="W87" s="156"/>
      <c r="X87" s="156"/>
      <c r="Y87" s="156"/>
      <c r="Z87" s="156"/>
      <c r="AA87" s="156">
        <f t="shared" si="14"/>
        <v>0</v>
      </c>
      <c r="AB87" s="156">
        <v>523455</v>
      </c>
      <c r="AC87" s="156">
        <f t="shared" si="15"/>
        <v>523455</v>
      </c>
      <c r="AD87" s="156">
        <v>11468</v>
      </c>
      <c r="AE87" s="156">
        <v>50237</v>
      </c>
      <c r="AF87" s="156">
        <v>104120</v>
      </c>
      <c r="AG87" s="156">
        <v>12799</v>
      </c>
      <c r="AH87" s="156">
        <v>73286</v>
      </c>
      <c r="AI87" s="156"/>
      <c r="AJ87" s="156">
        <v>0</v>
      </c>
      <c r="AK87" s="156">
        <f t="shared" si="16"/>
        <v>251910</v>
      </c>
      <c r="AL87" s="156">
        <v>0</v>
      </c>
      <c r="AM87" s="156">
        <v>0</v>
      </c>
      <c r="AN87" s="156">
        <v>14722</v>
      </c>
      <c r="AO87" s="156">
        <v>7701</v>
      </c>
      <c r="AP87" s="156">
        <v>160402</v>
      </c>
      <c r="AQ87" s="156">
        <v>12005</v>
      </c>
      <c r="AR87" s="156">
        <f t="shared" si="17"/>
        <v>194830</v>
      </c>
      <c r="AS87" s="156">
        <v>242809</v>
      </c>
      <c r="AT87" s="156">
        <v>40124</v>
      </c>
      <c r="AU87" s="156"/>
      <c r="AV87" s="156"/>
      <c r="AW87" s="156">
        <v>0</v>
      </c>
      <c r="AX87" s="156">
        <v>0</v>
      </c>
      <c r="AY87" s="156">
        <v>39503</v>
      </c>
      <c r="AZ87" s="156">
        <v>6000</v>
      </c>
      <c r="BA87" s="156">
        <f t="shared" si="18"/>
        <v>328436</v>
      </c>
      <c r="BB87" s="156"/>
      <c r="BC87" s="156">
        <v>0</v>
      </c>
      <c r="BD87" s="156">
        <v>-54425</v>
      </c>
      <c r="BE87" s="156">
        <f t="shared" si="19"/>
        <v>-54425</v>
      </c>
      <c r="BF87" s="156">
        <v>0</v>
      </c>
      <c r="BG87" s="156">
        <f t="shared" si="20"/>
        <v>3937220.6900000004</v>
      </c>
      <c r="DD87" s="175"/>
      <c r="DE87" s="126" t="s">
        <v>33</v>
      </c>
      <c r="DF87" s="126" t="s">
        <v>33</v>
      </c>
      <c r="DG87" s="126" t="s">
        <v>33</v>
      </c>
      <c r="DH87" s="126" t="s">
        <v>33</v>
      </c>
      <c r="DI87" s="126" t="s">
        <v>33</v>
      </c>
      <c r="DJ87" s="126" t="s">
        <v>33</v>
      </c>
      <c r="DK87" s="126" t="s">
        <v>33</v>
      </c>
      <c r="DL87" s="126" t="s">
        <v>33</v>
      </c>
      <c r="DM87" s="126" t="s">
        <v>33</v>
      </c>
      <c r="DN87" s="126" t="s">
        <v>33</v>
      </c>
      <c r="DO87" s="126" t="s">
        <v>33</v>
      </c>
      <c r="DP87" s="126" t="s">
        <v>33</v>
      </c>
      <c r="DQ87" s="126" t="s">
        <v>33</v>
      </c>
      <c r="DR87" s="126" t="s">
        <v>33</v>
      </c>
      <c r="DS87" s="126" t="s">
        <v>33</v>
      </c>
      <c r="DT87" s="122">
        <f t="shared" si="21"/>
        <v>0</v>
      </c>
    </row>
    <row r="88" spans="1:124" ht="12">
      <c r="A88" s="128" t="s">
        <v>513</v>
      </c>
      <c r="B88" s="128">
        <v>4017</v>
      </c>
      <c r="C88" s="157"/>
      <c r="D88" s="158"/>
      <c r="E88" s="158"/>
      <c r="F88" s="158"/>
      <c r="G88" s="159"/>
      <c r="H88" s="156"/>
      <c r="I88" s="156"/>
      <c r="J88" s="156"/>
      <c r="K88" s="156"/>
      <c r="L88" s="156">
        <v>248</v>
      </c>
      <c r="M88" s="156">
        <v>249</v>
      </c>
      <c r="N88" s="156">
        <v>240</v>
      </c>
      <c r="O88" s="156">
        <v>241</v>
      </c>
      <c r="P88" s="156">
        <v>261</v>
      </c>
      <c r="Q88" s="156">
        <v>0</v>
      </c>
      <c r="R88" s="156"/>
      <c r="S88" s="156">
        <v>0</v>
      </c>
      <c r="T88" s="156">
        <f t="shared" si="12"/>
        <v>1239</v>
      </c>
      <c r="U88" s="156">
        <f t="shared" si="13"/>
        <v>3238520.88</v>
      </c>
      <c r="V88" s="156"/>
      <c r="W88" s="156"/>
      <c r="X88" s="156"/>
      <c r="Y88" s="156"/>
      <c r="Z88" s="156"/>
      <c r="AA88" s="156">
        <f t="shared" si="14"/>
        <v>0</v>
      </c>
      <c r="AB88" s="156">
        <v>0</v>
      </c>
      <c r="AC88" s="156">
        <f t="shared" si="15"/>
        <v>0</v>
      </c>
      <c r="AD88" s="156">
        <v>0</v>
      </c>
      <c r="AE88" s="156">
        <v>8137</v>
      </c>
      <c r="AF88" s="156">
        <v>16864</v>
      </c>
      <c r="AG88" s="156">
        <v>2073</v>
      </c>
      <c r="AH88" s="156">
        <v>3842</v>
      </c>
      <c r="AI88" s="156"/>
      <c r="AJ88" s="156">
        <v>0</v>
      </c>
      <c r="AK88" s="156">
        <f t="shared" si="16"/>
        <v>30916</v>
      </c>
      <c r="AL88" s="156">
        <v>0</v>
      </c>
      <c r="AM88" s="156">
        <v>0</v>
      </c>
      <c r="AN88" s="156">
        <v>80105</v>
      </c>
      <c r="AO88" s="156">
        <v>5363</v>
      </c>
      <c r="AP88" s="156">
        <v>154893</v>
      </c>
      <c r="AQ88" s="156">
        <v>12107</v>
      </c>
      <c r="AR88" s="156">
        <f t="shared" si="17"/>
        <v>252468</v>
      </c>
      <c r="AS88" s="156">
        <v>217393</v>
      </c>
      <c r="AT88" s="156">
        <v>2103</v>
      </c>
      <c r="AU88" s="156"/>
      <c r="AV88" s="156"/>
      <c r="AW88" s="156">
        <v>47615</v>
      </c>
      <c r="AX88" s="156">
        <v>0</v>
      </c>
      <c r="AY88" s="156">
        <v>65184</v>
      </c>
      <c r="AZ88" s="156">
        <v>0</v>
      </c>
      <c r="BA88" s="156">
        <f t="shared" si="18"/>
        <v>332295</v>
      </c>
      <c r="BB88" s="156"/>
      <c r="BC88" s="156">
        <v>24180</v>
      </c>
      <c r="BD88" s="156">
        <v>0</v>
      </c>
      <c r="BE88" s="156">
        <f t="shared" si="19"/>
        <v>24180</v>
      </c>
      <c r="BF88" s="156">
        <v>3129</v>
      </c>
      <c r="BG88" s="156">
        <f t="shared" si="20"/>
        <v>3881508.88</v>
      </c>
      <c r="DD88" s="175"/>
      <c r="DE88" s="126" t="s">
        <v>33</v>
      </c>
      <c r="DF88" s="126" t="s">
        <v>33</v>
      </c>
      <c r="DG88" s="126" t="s">
        <v>33</v>
      </c>
      <c r="DH88" s="126" t="s">
        <v>33</v>
      </c>
      <c r="DI88" s="126" t="s">
        <v>33</v>
      </c>
      <c r="DJ88" s="126" t="s">
        <v>33</v>
      </c>
      <c r="DK88" s="126" t="s">
        <v>33</v>
      </c>
      <c r="DL88" s="126" t="s">
        <v>33</v>
      </c>
      <c r="DM88" s="126" t="s">
        <v>33</v>
      </c>
      <c r="DN88" s="126" t="s">
        <v>33</v>
      </c>
      <c r="DO88" s="126" t="s">
        <v>33</v>
      </c>
      <c r="DP88" s="126" t="s">
        <v>33</v>
      </c>
      <c r="DQ88" s="126" t="s">
        <v>33</v>
      </c>
      <c r="DR88" s="126" t="s">
        <v>33</v>
      </c>
      <c r="DS88" s="126" t="s">
        <v>33</v>
      </c>
      <c r="DT88" s="122">
        <f t="shared" si="21"/>
        <v>0</v>
      </c>
    </row>
    <row r="89" spans="1:124" ht="12">
      <c r="A89" s="128" t="s">
        <v>514</v>
      </c>
      <c r="B89" s="128">
        <v>4030</v>
      </c>
      <c r="C89" s="157"/>
      <c r="D89" s="158"/>
      <c r="E89" s="158"/>
      <c r="F89" s="158"/>
      <c r="G89" s="159"/>
      <c r="H89" s="156"/>
      <c r="I89" s="156"/>
      <c r="J89" s="156"/>
      <c r="K89" s="156"/>
      <c r="L89" s="156">
        <v>209</v>
      </c>
      <c r="M89" s="156">
        <v>208</v>
      </c>
      <c r="N89" s="156">
        <v>210</v>
      </c>
      <c r="O89" s="156">
        <v>208</v>
      </c>
      <c r="P89" s="156">
        <v>214</v>
      </c>
      <c r="Q89" s="156">
        <v>0</v>
      </c>
      <c r="R89" s="156"/>
      <c r="S89" s="156">
        <v>223</v>
      </c>
      <c r="T89" s="156">
        <f t="shared" si="12"/>
        <v>1272</v>
      </c>
      <c r="U89" s="156">
        <f t="shared" si="13"/>
        <v>2739237.7300000004</v>
      </c>
      <c r="V89" s="156"/>
      <c r="W89" s="156"/>
      <c r="X89" s="156"/>
      <c r="Y89" s="156"/>
      <c r="Z89" s="156"/>
      <c r="AA89" s="156">
        <f t="shared" si="14"/>
        <v>0</v>
      </c>
      <c r="AB89" s="156">
        <v>965174</v>
      </c>
      <c r="AC89" s="156">
        <f t="shared" si="15"/>
        <v>965174</v>
      </c>
      <c r="AD89" s="156">
        <v>21982</v>
      </c>
      <c r="AE89" s="156">
        <v>13861</v>
      </c>
      <c r="AF89" s="156">
        <v>28729</v>
      </c>
      <c r="AG89" s="156">
        <v>3532</v>
      </c>
      <c r="AH89" s="156">
        <v>10933</v>
      </c>
      <c r="AI89" s="156"/>
      <c r="AJ89" s="156">
        <v>0</v>
      </c>
      <c r="AK89" s="156">
        <f t="shared" si="16"/>
        <v>79037</v>
      </c>
      <c r="AL89" s="156">
        <v>0</v>
      </c>
      <c r="AM89" s="156">
        <v>0</v>
      </c>
      <c r="AN89" s="156">
        <v>91147</v>
      </c>
      <c r="AO89" s="156">
        <v>6070</v>
      </c>
      <c r="AP89" s="156">
        <v>161460</v>
      </c>
      <c r="AQ89" s="156">
        <v>10863</v>
      </c>
      <c r="AR89" s="156">
        <f t="shared" si="17"/>
        <v>269540</v>
      </c>
      <c r="AS89" s="156">
        <v>242809</v>
      </c>
      <c r="AT89" s="156">
        <v>5986</v>
      </c>
      <c r="AU89" s="156"/>
      <c r="AV89" s="156"/>
      <c r="AW89" s="156">
        <v>49634</v>
      </c>
      <c r="AX89" s="156">
        <v>0</v>
      </c>
      <c r="AY89" s="156">
        <v>60628</v>
      </c>
      <c r="AZ89" s="156">
        <v>0</v>
      </c>
      <c r="BA89" s="156">
        <f t="shared" si="18"/>
        <v>359057</v>
      </c>
      <c r="BB89" s="156"/>
      <c r="BC89" s="156">
        <v>15206</v>
      </c>
      <c r="BD89" s="156">
        <v>-98524</v>
      </c>
      <c r="BE89" s="156">
        <f t="shared" si="19"/>
        <v>-83318</v>
      </c>
      <c r="BF89" s="156">
        <v>0</v>
      </c>
      <c r="BG89" s="156">
        <f t="shared" si="20"/>
        <v>4328727.73</v>
      </c>
      <c r="DD89" s="175"/>
      <c r="DE89" s="126" t="s">
        <v>33</v>
      </c>
      <c r="DF89" s="126" t="s">
        <v>33</v>
      </c>
      <c r="DG89" s="126" t="s">
        <v>33</v>
      </c>
      <c r="DH89" s="126" t="s">
        <v>33</v>
      </c>
      <c r="DI89" s="126" t="s">
        <v>33</v>
      </c>
      <c r="DJ89" s="126" t="s">
        <v>33</v>
      </c>
      <c r="DK89" s="126" t="s">
        <v>33</v>
      </c>
      <c r="DL89" s="126" t="s">
        <v>33</v>
      </c>
      <c r="DM89" s="126" t="s">
        <v>33</v>
      </c>
      <c r="DN89" s="126" t="s">
        <v>33</v>
      </c>
      <c r="DO89" s="126" t="s">
        <v>33</v>
      </c>
      <c r="DP89" s="126" t="s">
        <v>33</v>
      </c>
      <c r="DQ89" s="126" t="s">
        <v>33</v>
      </c>
      <c r="DR89" s="126" t="s">
        <v>33</v>
      </c>
      <c r="DS89" s="126" t="s">
        <v>33</v>
      </c>
      <c r="DT89" s="122">
        <f t="shared" si="21"/>
        <v>0</v>
      </c>
    </row>
    <row r="90" spans="1:124" ht="12">
      <c r="A90" s="128" t="s">
        <v>515</v>
      </c>
      <c r="B90" s="128">
        <v>4012</v>
      </c>
      <c r="C90" s="157"/>
      <c r="D90" s="158"/>
      <c r="E90" s="158"/>
      <c r="F90" s="158"/>
      <c r="G90" s="159"/>
      <c r="H90" s="156"/>
      <c r="I90" s="156"/>
      <c r="J90" s="156"/>
      <c r="K90" s="156"/>
      <c r="L90" s="156">
        <v>186</v>
      </c>
      <c r="M90" s="156">
        <v>182</v>
      </c>
      <c r="N90" s="156">
        <v>180</v>
      </c>
      <c r="O90" s="156">
        <v>181</v>
      </c>
      <c r="P90" s="156">
        <v>190</v>
      </c>
      <c r="Q90" s="156">
        <v>44</v>
      </c>
      <c r="R90" s="156"/>
      <c r="S90" s="156">
        <v>0</v>
      </c>
      <c r="T90" s="156">
        <f t="shared" si="12"/>
        <v>963</v>
      </c>
      <c r="U90" s="156">
        <f t="shared" si="13"/>
        <v>2400803.72</v>
      </c>
      <c r="V90" s="156"/>
      <c r="W90" s="156"/>
      <c r="X90" s="156"/>
      <c r="Y90" s="156"/>
      <c r="Z90" s="156"/>
      <c r="AA90" s="156">
        <f t="shared" si="14"/>
        <v>0</v>
      </c>
      <c r="AB90" s="156">
        <v>0</v>
      </c>
      <c r="AC90" s="156">
        <f t="shared" si="15"/>
        <v>0</v>
      </c>
      <c r="AD90" s="156">
        <v>45111</v>
      </c>
      <c r="AE90" s="156">
        <v>27442</v>
      </c>
      <c r="AF90" s="156">
        <v>56877</v>
      </c>
      <c r="AG90" s="156">
        <v>6991</v>
      </c>
      <c r="AH90" s="156">
        <v>20095</v>
      </c>
      <c r="AI90" s="156"/>
      <c r="AJ90" s="156">
        <v>495109</v>
      </c>
      <c r="AK90" s="156">
        <f t="shared" si="16"/>
        <v>651625</v>
      </c>
      <c r="AL90" s="156">
        <v>0</v>
      </c>
      <c r="AM90" s="156">
        <v>0</v>
      </c>
      <c r="AN90" s="156">
        <v>79456</v>
      </c>
      <c r="AO90" s="156">
        <v>5670</v>
      </c>
      <c r="AP90" s="156">
        <v>140789</v>
      </c>
      <c r="AQ90" s="156">
        <v>14845</v>
      </c>
      <c r="AR90" s="156">
        <f t="shared" si="17"/>
        <v>240760</v>
      </c>
      <c r="AS90" s="156">
        <v>217393</v>
      </c>
      <c r="AT90" s="156">
        <v>11002</v>
      </c>
      <c r="AU90" s="156"/>
      <c r="AV90" s="156"/>
      <c r="AW90" s="156">
        <v>0</v>
      </c>
      <c r="AX90" s="156">
        <v>0</v>
      </c>
      <c r="AY90" s="156">
        <v>59204</v>
      </c>
      <c r="AZ90" s="156">
        <v>0</v>
      </c>
      <c r="BA90" s="156">
        <f t="shared" si="18"/>
        <v>287599</v>
      </c>
      <c r="BB90" s="156"/>
      <c r="BC90" s="156">
        <v>8793</v>
      </c>
      <c r="BD90" s="156">
        <v>0</v>
      </c>
      <c r="BE90" s="156">
        <f t="shared" si="19"/>
        <v>8793</v>
      </c>
      <c r="BF90" s="156">
        <v>808</v>
      </c>
      <c r="BG90" s="156">
        <f t="shared" si="20"/>
        <v>3590388.72</v>
      </c>
      <c r="DD90" s="175"/>
      <c r="DE90" s="126" t="s">
        <v>33</v>
      </c>
      <c r="DF90" s="126" t="s">
        <v>33</v>
      </c>
      <c r="DG90" s="126" t="s">
        <v>33</v>
      </c>
      <c r="DH90" s="126" t="s">
        <v>33</v>
      </c>
      <c r="DI90" s="126" t="s">
        <v>33</v>
      </c>
      <c r="DJ90" s="126" t="s">
        <v>33</v>
      </c>
      <c r="DK90" s="126" t="s">
        <v>33</v>
      </c>
      <c r="DL90" s="126" t="s">
        <v>33</v>
      </c>
      <c r="DM90" s="126" t="s">
        <v>33</v>
      </c>
      <c r="DN90" s="126" t="s">
        <v>33</v>
      </c>
      <c r="DO90" s="126" t="s">
        <v>33</v>
      </c>
      <c r="DP90" s="126" t="s">
        <v>33</v>
      </c>
      <c r="DQ90" s="126" t="s">
        <v>33</v>
      </c>
      <c r="DR90" s="126" t="s">
        <v>33</v>
      </c>
      <c r="DS90" s="126" t="s">
        <v>33</v>
      </c>
      <c r="DT90" s="122">
        <f t="shared" si="21"/>
        <v>0</v>
      </c>
    </row>
    <row r="91" spans="1:124" ht="12">
      <c r="A91" s="128" t="s">
        <v>516</v>
      </c>
      <c r="B91" s="128">
        <v>4018</v>
      </c>
      <c r="C91" s="157"/>
      <c r="D91" s="158"/>
      <c r="E91" s="158"/>
      <c r="F91" s="158"/>
      <c r="G91" s="159"/>
      <c r="H91" s="156"/>
      <c r="I91" s="156"/>
      <c r="J91" s="156"/>
      <c r="K91" s="156"/>
      <c r="L91" s="156">
        <v>241</v>
      </c>
      <c r="M91" s="156">
        <v>247</v>
      </c>
      <c r="N91" s="156">
        <v>242</v>
      </c>
      <c r="O91" s="156">
        <v>257</v>
      </c>
      <c r="P91" s="156">
        <v>252</v>
      </c>
      <c r="Q91" s="156">
        <v>0</v>
      </c>
      <c r="R91" s="156"/>
      <c r="S91" s="156">
        <v>0</v>
      </c>
      <c r="T91" s="156">
        <f t="shared" si="12"/>
        <v>1239</v>
      </c>
      <c r="U91" s="156">
        <f t="shared" si="13"/>
        <v>3238924.8</v>
      </c>
      <c r="V91" s="156"/>
      <c r="W91" s="156"/>
      <c r="X91" s="156"/>
      <c r="Y91" s="156"/>
      <c r="Z91" s="156"/>
      <c r="AA91" s="156">
        <f t="shared" si="14"/>
        <v>0</v>
      </c>
      <c r="AB91" s="156">
        <v>0</v>
      </c>
      <c r="AC91" s="156">
        <f t="shared" si="15"/>
        <v>0</v>
      </c>
      <c r="AD91" s="156">
        <v>21026</v>
      </c>
      <c r="AE91" s="156">
        <v>30591</v>
      </c>
      <c r="AF91" s="156">
        <v>63404</v>
      </c>
      <c r="AG91" s="156">
        <v>7794</v>
      </c>
      <c r="AH91" s="156">
        <v>23936</v>
      </c>
      <c r="AI91" s="156"/>
      <c r="AJ91" s="156">
        <v>0</v>
      </c>
      <c r="AK91" s="156">
        <f t="shared" si="16"/>
        <v>146751</v>
      </c>
      <c r="AL91" s="156">
        <v>0</v>
      </c>
      <c r="AM91" s="156">
        <v>0</v>
      </c>
      <c r="AN91" s="156">
        <v>73610</v>
      </c>
      <c r="AO91" s="156">
        <v>8405</v>
      </c>
      <c r="AP91" s="156">
        <v>163469</v>
      </c>
      <c r="AQ91" s="156">
        <v>13721</v>
      </c>
      <c r="AR91" s="156">
        <f t="shared" si="17"/>
        <v>259205</v>
      </c>
      <c r="AS91" s="156">
        <v>217393</v>
      </c>
      <c r="AT91" s="156">
        <v>13105</v>
      </c>
      <c r="AU91" s="156"/>
      <c r="AV91" s="156"/>
      <c r="AW91" s="156">
        <v>0</v>
      </c>
      <c r="AX91" s="156">
        <v>0</v>
      </c>
      <c r="AY91" s="156">
        <v>62544</v>
      </c>
      <c r="AZ91" s="156">
        <v>0</v>
      </c>
      <c r="BA91" s="156">
        <f t="shared" si="18"/>
        <v>293042</v>
      </c>
      <c r="BB91" s="156"/>
      <c r="BC91" s="156">
        <v>0</v>
      </c>
      <c r="BD91" s="156">
        <v>0</v>
      </c>
      <c r="BE91" s="156">
        <f t="shared" si="19"/>
        <v>0</v>
      </c>
      <c r="BF91" s="156">
        <v>0</v>
      </c>
      <c r="BG91" s="156">
        <f t="shared" si="20"/>
        <v>3937922.8</v>
      </c>
      <c r="DD91" s="175"/>
      <c r="DE91" s="126" t="s">
        <v>33</v>
      </c>
      <c r="DF91" s="126" t="s">
        <v>33</v>
      </c>
      <c r="DG91" s="126" t="s">
        <v>33</v>
      </c>
      <c r="DH91" s="126" t="s">
        <v>33</v>
      </c>
      <c r="DI91" s="126" t="s">
        <v>33</v>
      </c>
      <c r="DJ91" s="126" t="s">
        <v>33</v>
      </c>
      <c r="DK91" s="126" t="s">
        <v>33</v>
      </c>
      <c r="DL91" s="126" t="s">
        <v>33</v>
      </c>
      <c r="DM91" s="126" t="s">
        <v>33</v>
      </c>
      <c r="DN91" s="126" t="s">
        <v>33</v>
      </c>
      <c r="DO91" s="126" t="s">
        <v>33</v>
      </c>
      <c r="DP91" s="126" t="s">
        <v>33</v>
      </c>
      <c r="DQ91" s="126" t="s">
        <v>33</v>
      </c>
      <c r="DR91" s="126" t="s">
        <v>33</v>
      </c>
      <c r="DS91" s="126" t="s">
        <v>33</v>
      </c>
      <c r="DT91" s="122">
        <f t="shared" si="21"/>
        <v>0</v>
      </c>
    </row>
    <row r="92" spans="1:124" ht="12">
      <c r="A92" s="128" t="s">
        <v>517</v>
      </c>
      <c r="B92" s="128">
        <v>4019</v>
      </c>
      <c r="C92" s="157"/>
      <c r="D92" s="158"/>
      <c r="E92" s="158"/>
      <c r="F92" s="158"/>
      <c r="G92" s="159"/>
      <c r="H92" s="156"/>
      <c r="I92" s="156"/>
      <c r="J92" s="156"/>
      <c r="K92" s="156"/>
      <c r="L92" s="156">
        <v>206</v>
      </c>
      <c r="M92" s="156">
        <v>206</v>
      </c>
      <c r="N92" s="156">
        <v>193</v>
      </c>
      <c r="O92" s="156">
        <v>200</v>
      </c>
      <c r="P92" s="156">
        <v>194</v>
      </c>
      <c r="Q92" s="156">
        <v>0</v>
      </c>
      <c r="R92" s="156"/>
      <c r="S92" s="156">
        <v>0</v>
      </c>
      <c r="T92" s="156">
        <f t="shared" si="12"/>
        <v>999</v>
      </c>
      <c r="U92" s="156">
        <f t="shared" si="13"/>
        <v>2603657.5500000003</v>
      </c>
      <c r="V92" s="156"/>
      <c r="W92" s="156"/>
      <c r="X92" s="156"/>
      <c r="Y92" s="156"/>
      <c r="Z92" s="156"/>
      <c r="AA92" s="156">
        <f t="shared" si="14"/>
        <v>0</v>
      </c>
      <c r="AB92" s="156">
        <v>0</v>
      </c>
      <c r="AC92" s="156">
        <f t="shared" si="15"/>
        <v>0</v>
      </c>
      <c r="AD92" s="156">
        <v>17203</v>
      </c>
      <c r="AE92" s="156">
        <v>27348</v>
      </c>
      <c r="AF92" s="156">
        <v>56682</v>
      </c>
      <c r="AG92" s="156">
        <v>6968</v>
      </c>
      <c r="AH92" s="156">
        <v>18322</v>
      </c>
      <c r="AI92" s="156"/>
      <c r="AJ92" s="156">
        <v>0</v>
      </c>
      <c r="AK92" s="156">
        <f t="shared" si="16"/>
        <v>126523</v>
      </c>
      <c r="AL92" s="156">
        <v>0</v>
      </c>
      <c r="AM92" s="156">
        <v>0</v>
      </c>
      <c r="AN92" s="156">
        <v>54883</v>
      </c>
      <c r="AO92" s="156">
        <v>5002</v>
      </c>
      <c r="AP92" s="156">
        <v>137290</v>
      </c>
      <c r="AQ92" s="156">
        <v>13013</v>
      </c>
      <c r="AR92" s="156">
        <f t="shared" si="17"/>
        <v>210188</v>
      </c>
      <c r="AS92" s="156">
        <v>217393</v>
      </c>
      <c r="AT92" s="156">
        <v>10031</v>
      </c>
      <c r="AU92" s="156"/>
      <c r="AV92" s="156"/>
      <c r="AW92" s="156">
        <v>0</v>
      </c>
      <c r="AX92" s="156">
        <v>34576</v>
      </c>
      <c r="AY92" s="156">
        <v>51339</v>
      </c>
      <c r="AZ92" s="156">
        <v>0</v>
      </c>
      <c r="BA92" s="156">
        <f t="shared" si="18"/>
        <v>313339</v>
      </c>
      <c r="BB92" s="156"/>
      <c r="BC92" s="156">
        <v>20260</v>
      </c>
      <c r="BD92" s="156">
        <v>0</v>
      </c>
      <c r="BE92" s="156">
        <f t="shared" si="19"/>
        <v>20260</v>
      </c>
      <c r="BF92" s="156">
        <v>0</v>
      </c>
      <c r="BG92" s="156">
        <f t="shared" si="20"/>
        <v>3273967.5500000003</v>
      </c>
      <c r="DD92" s="175"/>
      <c r="DE92" s="126" t="s">
        <v>33</v>
      </c>
      <c r="DF92" s="126" t="s">
        <v>33</v>
      </c>
      <c r="DG92" s="126" t="s">
        <v>33</v>
      </c>
      <c r="DH92" s="126" t="s">
        <v>33</v>
      </c>
      <c r="DI92" s="126" t="s">
        <v>33</v>
      </c>
      <c r="DJ92" s="126" t="s">
        <v>33</v>
      </c>
      <c r="DK92" s="126" t="s">
        <v>33</v>
      </c>
      <c r="DL92" s="126" t="s">
        <v>33</v>
      </c>
      <c r="DM92" s="126" t="s">
        <v>33</v>
      </c>
      <c r="DN92" s="126" t="s">
        <v>33</v>
      </c>
      <c r="DO92" s="126" t="s">
        <v>33</v>
      </c>
      <c r="DP92" s="126" t="s">
        <v>33</v>
      </c>
      <c r="DQ92" s="126" t="s">
        <v>33</v>
      </c>
      <c r="DR92" s="126" t="s">
        <v>33</v>
      </c>
      <c r="DS92" s="126" t="s">
        <v>33</v>
      </c>
      <c r="DT92" s="122">
        <f t="shared" si="21"/>
        <v>0</v>
      </c>
    </row>
    <row r="93" spans="1:124" ht="12">
      <c r="A93" s="128" t="s">
        <v>518</v>
      </c>
      <c r="B93" s="128">
        <v>4020</v>
      </c>
      <c r="C93" s="157"/>
      <c r="D93" s="158"/>
      <c r="E93" s="158"/>
      <c r="F93" s="158"/>
      <c r="G93" s="159"/>
      <c r="H93" s="156"/>
      <c r="I93" s="156"/>
      <c r="J93" s="156"/>
      <c r="K93" s="156"/>
      <c r="L93" s="156">
        <v>261</v>
      </c>
      <c r="M93" s="156">
        <v>255</v>
      </c>
      <c r="N93" s="156">
        <v>248</v>
      </c>
      <c r="O93" s="156">
        <v>247</v>
      </c>
      <c r="P93" s="156">
        <v>240</v>
      </c>
      <c r="Q93" s="156">
        <v>8</v>
      </c>
      <c r="R93" s="156"/>
      <c r="S93" s="156">
        <v>0</v>
      </c>
      <c r="T93" s="156">
        <f t="shared" si="12"/>
        <v>1259</v>
      </c>
      <c r="U93" s="156">
        <f t="shared" si="13"/>
        <v>3257517.06</v>
      </c>
      <c r="V93" s="156"/>
      <c r="W93" s="156"/>
      <c r="X93" s="156"/>
      <c r="Y93" s="156"/>
      <c r="Z93" s="156"/>
      <c r="AA93" s="156">
        <f t="shared" si="14"/>
        <v>0</v>
      </c>
      <c r="AB93" s="156">
        <v>0</v>
      </c>
      <c r="AC93" s="156">
        <f t="shared" si="15"/>
        <v>0</v>
      </c>
      <c r="AD93" s="156">
        <v>15291</v>
      </c>
      <c r="AE93" s="156">
        <v>50014</v>
      </c>
      <c r="AF93" s="156">
        <v>103659</v>
      </c>
      <c r="AG93" s="156">
        <v>12742</v>
      </c>
      <c r="AH93" s="156">
        <v>43439</v>
      </c>
      <c r="AI93" s="156"/>
      <c r="AJ93" s="156">
        <v>28471</v>
      </c>
      <c r="AK93" s="156">
        <f t="shared" si="16"/>
        <v>253616</v>
      </c>
      <c r="AL93" s="156">
        <v>0</v>
      </c>
      <c r="AM93" s="156">
        <v>0</v>
      </c>
      <c r="AN93" s="156">
        <v>78373</v>
      </c>
      <c r="AO93" s="156">
        <v>6156</v>
      </c>
      <c r="AP93" s="156">
        <v>195070</v>
      </c>
      <c r="AQ93" s="156">
        <v>14031</v>
      </c>
      <c r="AR93" s="156">
        <f t="shared" si="17"/>
        <v>293630</v>
      </c>
      <c r="AS93" s="156">
        <v>217393</v>
      </c>
      <c r="AT93" s="156">
        <v>23783</v>
      </c>
      <c r="AU93" s="156"/>
      <c r="AV93" s="156"/>
      <c r="AW93" s="156">
        <v>0</v>
      </c>
      <c r="AX93" s="156">
        <v>0</v>
      </c>
      <c r="AY93" s="156">
        <v>58449</v>
      </c>
      <c r="AZ93" s="156">
        <v>0</v>
      </c>
      <c r="BA93" s="156">
        <f t="shared" si="18"/>
        <v>299625</v>
      </c>
      <c r="BB93" s="156"/>
      <c r="BC93" s="156">
        <v>652</v>
      </c>
      <c r="BD93" s="156">
        <v>0</v>
      </c>
      <c r="BE93" s="156">
        <f t="shared" si="19"/>
        <v>652</v>
      </c>
      <c r="BF93" s="156">
        <v>0</v>
      </c>
      <c r="BG93" s="156">
        <f t="shared" si="20"/>
        <v>4105040.06</v>
      </c>
      <c r="DD93" s="175"/>
      <c r="DE93" s="126" t="s">
        <v>33</v>
      </c>
      <c r="DF93" s="126" t="s">
        <v>33</v>
      </c>
      <c r="DG93" s="126" t="s">
        <v>33</v>
      </c>
      <c r="DH93" s="126" t="s">
        <v>33</v>
      </c>
      <c r="DI93" s="126" t="s">
        <v>33</v>
      </c>
      <c r="DJ93" s="126" t="s">
        <v>33</v>
      </c>
      <c r="DK93" s="126" t="s">
        <v>33</v>
      </c>
      <c r="DL93" s="126" t="s">
        <v>33</v>
      </c>
      <c r="DM93" s="126" t="s">
        <v>33</v>
      </c>
      <c r="DN93" s="126" t="s">
        <v>33</v>
      </c>
      <c r="DO93" s="126" t="s">
        <v>33</v>
      </c>
      <c r="DP93" s="126" t="s">
        <v>33</v>
      </c>
      <c r="DQ93" s="126" t="s">
        <v>33</v>
      </c>
      <c r="DR93" s="126" t="s">
        <v>33</v>
      </c>
      <c r="DS93" s="126" t="s">
        <v>33</v>
      </c>
      <c r="DT93" s="122">
        <f t="shared" si="21"/>
        <v>0</v>
      </c>
    </row>
    <row r="94" spans="1:124" ht="12">
      <c r="A94" s="128" t="s">
        <v>519</v>
      </c>
      <c r="B94" s="128">
        <v>4031</v>
      </c>
      <c r="C94" s="157"/>
      <c r="D94" s="158"/>
      <c r="E94" s="158"/>
      <c r="F94" s="158"/>
      <c r="G94" s="159"/>
      <c r="H94" s="156"/>
      <c r="I94" s="156"/>
      <c r="J94" s="156"/>
      <c r="K94" s="156"/>
      <c r="L94" s="156">
        <v>256</v>
      </c>
      <c r="M94" s="156">
        <v>251</v>
      </c>
      <c r="N94" s="156">
        <v>255</v>
      </c>
      <c r="O94" s="156">
        <v>275</v>
      </c>
      <c r="P94" s="156">
        <v>266</v>
      </c>
      <c r="Q94" s="156">
        <v>0</v>
      </c>
      <c r="R94" s="156"/>
      <c r="S94" s="156">
        <v>121</v>
      </c>
      <c r="T94" s="156">
        <f t="shared" si="12"/>
        <v>1424</v>
      </c>
      <c r="U94" s="156">
        <f t="shared" si="13"/>
        <v>3408462.98</v>
      </c>
      <c r="V94" s="156"/>
      <c r="W94" s="156"/>
      <c r="X94" s="156"/>
      <c r="Y94" s="156"/>
      <c r="Z94" s="156"/>
      <c r="AA94" s="156">
        <f t="shared" si="14"/>
        <v>0</v>
      </c>
      <c r="AB94" s="156">
        <v>538488</v>
      </c>
      <c r="AC94" s="156">
        <f t="shared" si="15"/>
        <v>538488</v>
      </c>
      <c r="AD94" s="156">
        <v>20261</v>
      </c>
      <c r="AE94" s="156">
        <v>62119</v>
      </c>
      <c r="AF94" s="156">
        <v>128749</v>
      </c>
      <c r="AG94" s="156">
        <v>15827</v>
      </c>
      <c r="AH94" s="156">
        <v>67081</v>
      </c>
      <c r="AI94" s="156"/>
      <c r="AJ94" s="156">
        <v>0</v>
      </c>
      <c r="AK94" s="156">
        <f t="shared" si="16"/>
        <v>294037</v>
      </c>
      <c r="AL94" s="156">
        <v>0</v>
      </c>
      <c r="AM94" s="156">
        <v>0</v>
      </c>
      <c r="AN94" s="156">
        <v>91147</v>
      </c>
      <c r="AO94" s="156">
        <v>7845</v>
      </c>
      <c r="AP94" s="156">
        <v>212458</v>
      </c>
      <c r="AQ94" s="156">
        <v>14615</v>
      </c>
      <c r="AR94" s="156">
        <f t="shared" si="17"/>
        <v>326065</v>
      </c>
      <c r="AS94" s="156">
        <v>242809</v>
      </c>
      <c r="AT94" s="156">
        <v>36726</v>
      </c>
      <c r="AU94" s="156"/>
      <c r="AV94" s="156"/>
      <c r="AW94" s="156">
        <v>0</v>
      </c>
      <c r="AX94" s="156">
        <v>0</v>
      </c>
      <c r="AY94" s="156">
        <v>44377</v>
      </c>
      <c r="AZ94" s="156">
        <v>0</v>
      </c>
      <c r="BA94" s="156">
        <f t="shared" si="18"/>
        <v>323912</v>
      </c>
      <c r="BB94" s="156"/>
      <c r="BC94" s="156">
        <v>0</v>
      </c>
      <c r="BD94" s="156">
        <v>-48338</v>
      </c>
      <c r="BE94" s="156">
        <f t="shared" si="19"/>
        <v>-48338</v>
      </c>
      <c r="BF94" s="156">
        <v>0</v>
      </c>
      <c r="BG94" s="156">
        <f t="shared" si="20"/>
        <v>4842626.98</v>
      </c>
      <c r="DD94" s="175"/>
      <c r="DE94" s="126" t="s">
        <v>33</v>
      </c>
      <c r="DF94" s="126" t="s">
        <v>33</v>
      </c>
      <c r="DG94" s="126" t="s">
        <v>33</v>
      </c>
      <c r="DH94" s="126" t="s">
        <v>33</v>
      </c>
      <c r="DI94" s="126" t="s">
        <v>33</v>
      </c>
      <c r="DJ94" s="126" t="s">
        <v>33</v>
      </c>
      <c r="DK94" s="126" t="s">
        <v>33</v>
      </c>
      <c r="DL94" s="126" t="s">
        <v>33</v>
      </c>
      <c r="DM94" s="126" t="s">
        <v>33</v>
      </c>
      <c r="DN94" s="126" t="s">
        <v>33</v>
      </c>
      <c r="DO94" s="126" t="s">
        <v>33</v>
      </c>
      <c r="DP94" s="126" t="s">
        <v>33</v>
      </c>
      <c r="DQ94" s="126" t="s">
        <v>33</v>
      </c>
      <c r="DR94" s="126" t="s">
        <v>33</v>
      </c>
      <c r="DS94" s="126" t="s">
        <v>33</v>
      </c>
      <c r="DT94" s="122">
        <f t="shared" si="21"/>
        <v>0</v>
      </c>
    </row>
    <row r="95" spans="1:124" ht="12">
      <c r="A95" s="128" t="s">
        <v>520</v>
      </c>
      <c r="B95" s="128">
        <v>4034</v>
      </c>
      <c r="C95" s="157"/>
      <c r="D95" s="158"/>
      <c r="E95" s="158"/>
      <c r="F95" s="158"/>
      <c r="G95" s="159"/>
      <c r="H95" s="156"/>
      <c r="I95" s="156"/>
      <c r="J95" s="156"/>
      <c r="K95" s="156"/>
      <c r="L95" s="156">
        <v>204</v>
      </c>
      <c r="M95" s="156">
        <v>208</v>
      </c>
      <c r="N95" s="156">
        <v>227</v>
      </c>
      <c r="O95" s="156">
        <v>229</v>
      </c>
      <c r="P95" s="156">
        <v>219</v>
      </c>
      <c r="Q95" s="156">
        <v>0</v>
      </c>
      <c r="R95" s="156"/>
      <c r="S95" s="156">
        <v>0</v>
      </c>
      <c r="T95" s="156">
        <f t="shared" si="12"/>
        <v>1087</v>
      </c>
      <c r="U95" s="156">
        <f t="shared" si="13"/>
        <v>2841605.9600000004</v>
      </c>
      <c r="V95" s="156"/>
      <c r="W95" s="156"/>
      <c r="X95" s="156"/>
      <c r="Y95" s="156"/>
      <c r="Z95" s="156"/>
      <c r="AA95" s="156">
        <f t="shared" si="14"/>
        <v>0</v>
      </c>
      <c r="AB95" s="156">
        <v>0</v>
      </c>
      <c r="AC95" s="156">
        <f t="shared" si="15"/>
        <v>0</v>
      </c>
      <c r="AD95" s="156">
        <v>25804</v>
      </c>
      <c r="AE95" s="156">
        <v>93613</v>
      </c>
      <c r="AF95" s="156">
        <v>194023</v>
      </c>
      <c r="AG95" s="156">
        <v>23849</v>
      </c>
      <c r="AH95" s="156">
        <v>113771</v>
      </c>
      <c r="AI95" s="156"/>
      <c r="AJ95" s="156">
        <v>0</v>
      </c>
      <c r="AK95" s="156">
        <f t="shared" si="16"/>
        <v>451060</v>
      </c>
      <c r="AL95" s="156">
        <v>0</v>
      </c>
      <c r="AM95" s="156">
        <v>0</v>
      </c>
      <c r="AN95" s="156">
        <v>63901</v>
      </c>
      <c r="AO95" s="156">
        <v>5287</v>
      </c>
      <c r="AP95" s="156">
        <v>162475</v>
      </c>
      <c r="AQ95" s="156">
        <v>14845</v>
      </c>
      <c r="AR95" s="156">
        <f t="shared" si="17"/>
        <v>246508</v>
      </c>
      <c r="AS95" s="156">
        <v>217393</v>
      </c>
      <c r="AT95" s="156">
        <v>62289</v>
      </c>
      <c r="AU95" s="156"/>
      <c r="AV95" s="156"/>
      <c r="AW95" s="156">
        <v>0</v>
      </c>
      <c r="AX95" s="156">
        <v>0</v>
      </c>
      <c r="AY95" s="156">
        <v>32566</v>
      </c>
      <c r="AZ95" s="156">
        <v>6000</v>
      </c>
      <c r="BA95" s="156">
        <f t="shared" si="18"/>
        <v>318248</v>
      </c>
      <c r="BB95" s="156"/>
      <c r="BC95" s="156">
        <v>0</v>
      </c>
      <c r="BD95" s="156">
        <v>0</v>
      </c>
      <c r="BE95" s="156">
        <f t="shared" si="19"/>
        <v>0</v>
      </c>
      <c r="BF95" s="156">
        <v>0</v>
      </c>
      <c r="BG95" s="156">
        <f t="shared" si="20"/>
        <v>3857421.9600000004</v>
      </c>
      <c r="DD95" s="175"/>
      <c r="DE95" s="126" t="s">
        <v>33</v>
      </c>
      <c r="DF95" s="126" t="s">
        <v>33</v>
      </c>
      <c r="DG95" s="126" t="s">
        <v>33</v>
      </c>
      <c r="DH95" s="126" t="s">
        <v>33</v>
      </c>
      <c r="DI95" s="126" t="s">
        <v>33</v>
      </c>
      <c r="DJ95" s="126" t="s">
        <v>33</v>
      </c>
      <c r="DK95" s="126" t="s">
        <v>33</v>
      </c>
      <c r="DL95" s="126" t="s">
        <v>33</v>
      </c>
      <c r="DM95" s="126" t="s">
        <v>33</v>
      </c>
      <c r="DN95" s="126" t="s">
        <v>33</v>
      </c>
      <c r="DO95" s="126" t="s">
        <v>33</v>
      </c>
      <c r="DP95" s="126" t="s">
        <v>33</v>
      </c>
      <c r="DQ95" s="126" t="s">
        <v>33</v>
      </c>
      <c r="DR95" s="126" t="s">
        <v>33</v>
      </c>
      <c r="DS95" s="126" t="s">
        <v>33</v>
      </c>
      <c r="DT95" s="122">
        <f t="shared" si="21"/>
        <v>0</v>
      </c>
    </row>
    <row r="96" spans="1:124" ht="12">
      <c r="A96" s="128" t="s">
        <v>521</v>
      </c>
      <c r="B96" s="128">
        <v>4650</v>
      </c>
      <c r="C96" s="157"/>
      <c r="D96" s="158"/>
      <c r="E96" s="158"/>
      <c r="F96" s="158"/>
      <c r="G96" s="159"/>
      <c r="H96" s="156"/>
      <c r="I96" s="156"/>
      <c r="J96" s="156"/>
      <c r="K96" s="156"/>
      <c r="L96" s="156">
        <v>204</v>
      </c>
      <c r="M96" s="156">
        <v>204</v>
      </c>
      <c r="N96" s="156">
        <v>199</v>
      </c>
      <c r="O96" s="156">
        <v>198</v>
      </c>
      <c r="P96" s="156">
        <v>196</v>
      </c>
      <c r="Q96" s="156">
        <v>0</v>
      </c>
      <c r="R96" s="156"/>
      <c r="S96" s="156">
        <v>245</v>
      </c>
      <c r="T96" s="156">
        <f t="shared" si="12"/>
        <v>1246</v>
      </c>
      <c r="U96" s="156">
        <f t="shared" si="13"/>
        <v>2608961.23</v>
      </c>
      <c r="V96" s="156"/>
      <c r="W96" s="156"/>
      <c r="X96" s="156"/>
      <c r="Y96" s="156"/>
      <c r="Z96" s="156"/>
      <c r="AA96" s="156">
        <f t="shared" si="14"/>
        <v>0</v>
      </c>
      <c r="AB96" s="156">
        <v>1047287</v>
      </c>
      <c r="AC96" s="156">
        <f t="shared" si="15"/>
        <v>1047287</v>
      </c>
      <c r="AD96" s="156">
        <v>14144</v>
      </c>
      <c r="AE96" s="156">
        <v>12866</v>
      </c>
      <c r="AF96" s="156">
        <v>26667</v>
      </c>
      <c r="AG96" s="156">
        <v>3278</v>
      </c>
      <c r="AH96" s="156">
        <v>4728</v>
      </c>
      <c r="AI96" s="156"/>
      <c r="AJ96" s="156">
        <v>0</v>
      </c>
      <c r="AK96" s="156">
        <f t="shared" si="16"/>
        <v>61683</v>
      </c>
      <c r="AL96" s="156">
        <v>0</v>
      </c>
      <c r="AM96" s="156">
        <v>0</v>
      </c>
      <c r="AN96" s="156">
        <v>16194</v>
      </c>
      <c r="AO96" s="156">
        <v>5353</v>
      </c>
      <c r="AP96" s="156">
        <v>148457</v>
      </c>
      <c r="AQ96" s="156">
        <v>9553</v>
      </c>
      <c r="AR96" s="156">
        <f t="shared" si="17"/>
        <v>179557</v>
      </c>
      <c r="AS96" s="156">
        <v>242809</v>
      </c>
      <c r="AT96" s="156">
        <v>2589</v>
      </c>
      <c r="AU96" s="156"/>
      <c r="AV96" s="156"/>
      <c r="AW96" s="156">
        <v>0</v>
      </c>
      <c r="AX96" s="156">
        <v>0</v>
      </c>
      <c r="AY96" s="156">
        <v>58237</v>
      </c>
      <c r="AZ96" s="156">
        <v>0</v>
      </c>
      <c r="BA96" s="156">
        <f t="shared" si="18"/>
        <v>303635</v>
      </c>
      <c r="BB96" s="156"/>
      <c r="BC96" s="156">
        <v>0</v>
      </c>
      <c r="BD96" s="156">
        <v>-83049</v>
      </c>
      <c r="BE96" s="156">
        <f t="shared" si="19"/>
        <v>-83049</v>
      </c>
      <c r="BF96" s="156">
        <v>0</v>
      </c>
      <c r="BG96" s="156">
        <f t="shared" si="20"/>
        <v>4118074.2300000004</v>
      </c>
      <c r="DD96" s="175"/>
      <c r="DE96" s="126" t="s">
        <v>33</v>
      </c>
      <c r="DF96" s="126" t="s">
        <v>33</v>
      </c>
      <c r="DG96" s="126" t="s">
        <v>33</v>
      </c>
      <c r="DH96" s="126" t="s">
        <v>33</v>
      </c>
      <c r="DI96" s="126" t="s">
        <v>33</v>
      </c>
      <c r="DJ96" s="126" t="s">
        <v>33</v>
      </c>
      <c r="DK96" s="126" t="s">
        <v>33</v>
      </c>
      <c r="DL96" s="126" t="s">
        <v>33</v>
      </c>
      <c r="DM96" s="126" t="s">
        <v>33</v>
      </c>
      <c r="DN96" s="126" t="s">
        <v>33</v>
      </c>
      <c r="DO96" s="126" t="s">
        <v>33</v>
      </c>
      <c r="DP96" s="126" t="s">
        <v>33</v>
      </c>
      <c r="DQ96" s="126" t="s">
        <v>33</v>
      </c>
      <c r="DR96" s="126" t="s">
        <v>33</v>
      </c>
      <c r="DS96" s="126" t="s">
        <v>33</v>
      </c>
      <c r="DT96" s="122">
        <f t="shared" si="21"/>
        <v>0</v>
      </c>
    </row>
    <row r="97" spans="1:124" ht="12">
      <c r="A97" s="128" t="s">
        <v>522</v>
      </c>
      <c r="B97" s="128">
        <v>4014</v>
      </c>
      <c r="C97" s="157"/>
      <c r="D97" s="158"/>
      <c r="E97" s="158"/>
      <c r="F97" s="158"/>
      <c r="G97" s="159"/>
      <c r="H97" s="156"/>
      <c r="I97" s="156"/>
      <c r="J97" s="156"/>
      <c r="K97" s="156"/>
      <c r="L97" s="156">
        <v>251</v>
      </c>
      <c r="M97" s="156">
        <v>250</v>
      </c>
      <c r="N97" s="156">
        <v>261</v>
      </c>
      <c r="O97" s="156">
        <v>267</v>
      </c>
      <c r="P97" s="156">
        <v>247</v>
      </c>
      <c r="Q97" s="156">
        <v>0</v>
      </c>
      <c r="R97" s="156"/>
      <c r="S97" s="156">
        <v>0</v>
      </c>
      <c r="T97" s="156">
        <f t="shared" si="12"/>
        <v>1276</v>
      </c>
      <c r="U97" s="156">
        <f t="shared" si="13"/>
        <v>3329194.4299999997</v>
      </c>
      <c r="V97" s="156"/>
      <c r="W97" s="156"/>
      <c r="X97" s="156"/>
      <c r="Y97" s="156"/>
      <c r="Z97" s="156"/>
      <c r="AA97" s="156">
        <f t="shared" si="14"/>
        <v>0</v>
      </c>
      <c r="AB97" s="156">
        <v>0</v>
      </c>
      <c r="AC97" s="156">
        <f t="shared" si="15"/>
        <v>0</v>
      </c>
      <c r="AD97" s="156">
        <v>0</v>
      </c>
      <c r="AE97" s="156">
        <v>11965</v>
      </c>
      <c r="AF97" s="156">
        <v>24799</v>
      </c>
      <c r="AG97" s="156">
        <v>3048</v>
      </c>
      <c r="AH97" s="156">
        <v>6797</v>
      </c>
      <c r="AI97" s="156"/>
      <c r="AJ97" s="156">
        <v>0</v>
      </c>
      <c r="AK97" s="156">
        <f t="shared" si="16"/>
        <v>46609</v>
      </c>
      <c r="AL97" s="156">
        <v>0</v>
      </c>
      <c r="AM97" s="156">
        <v>0</v>
      </c>
      <c r="AN97" s="156">
        <v>77074</v>
      </c>
      <c r="AO97" s="156">
        <v>110</v>
      </c>
      <c r="AP97" s="156">
        <v>176515</v>
      </c>
      <c r="AQ97" s="156">
        <v>15005</v>
      </c>
      <c r="AR97" s="156">
        <f t="shared" si="17"/>
        <v>268704</v>
      </c>
      <c r="AS97" s="156">
        <v>217393</v>
      </c>
      <c r="AT97" s="156">
        <v>3721</v>
      </c>
      <c r="AU97" s="156"/>
      <c r="AV97" s="156"/>
      <c r="AW97" s="156">
        <v>0</v>
      </c>
      <c r="AX97" s="156">
        <v>0</v>
      </c>
      <c r="AY97" s="156">
        <v>48425</v>
      </c>
      <c r="AZ97" s="156">
        <v>0</v>
      </c>
      <c r="BA97" s="156">
        <f t="shared" si="18"/>
        <v>269539</v>
      </c>
      <c r="BB97" s="156"/>
      <c r="BC97" s="156">
        <v>0</v>
      </c>
      <c r="BD97" s="156">
        <v>0</v>
      </c>
      <c r="BE97" s="156">
        <f t="shared" si="19"/>
        <v>0</v>
      </c>
      <c r="BF97" s="156">
        <v>0</v>
      </c>
      <c r="BG97" s="156">
        <f t="shared" si="20"/>
        <v>3914046.4299999997</v>
      </c>
      <c r="DD97" s="175"/>
      <c r="DE97" s="126" t="s">
        <v>33</v>
      </c>
      <c r="DF97" s="126" t="s">
        <v>33</v>
      </c>
      <c r="DG97" s="126" t="s">
        <v>33</v>
      </c>
      <c r="DH97" s="126" t="s">
        <v>33</v>
      </c>
      <c r="DI97" s="126" t="s">
        <v>33</v>
      </c>
      <c r="DJ97" s="126" t="s">
        <v>33</v>
      </c>
      <c r="DK97" s="126" t="s">
        <v>33</v>
      </c>
      <c r="DL97" s="126" t="s">
        <v>33</v>
      </c>
      <c r="DM97" s="126" t="s">
        <v>33</v>
      </c>
      <c r="DN97" s="126" t="s">
        <v>33</v>
      </c>
      <c r="DO97" s="126" t="s">
        <v>33</v>
      </c>
      <c r="DP97" s="126" t="s">
        <v>33</v>
      </c>
      <c r="DQ97" s="126" t="s">
        <v>33</v>
      </c>
      <c r="DR97" s="126" t="s">
        <v>33</v>
      </c>
      <c r="DS97" s="126" t="s">
        <v>33</v>
      </c>
      <c r="DT97" s="122">
        <f t="shared" si="21"/>
        <v>0</v>
      </c>
    </row>
    <row r="98" spans="1:124" ht="12">
      <c r="A98" s="128" t="s">
        <v>523</v>
      </c>
      <c r="B98" s="128">
        <v>4032</v>
      </c>
      <c r="C98" s="157"/>
      <c r="D98" s="158"/>
      <c r="E98" s="158"/>
      <c r="F98" s="158"/>
      <c r="G98" s="159"/>
      <c r="H98" s="156"/>
      <c r="I98" s="156"/>
      <c r="J98" s="156"/>
      <c r="K98" s="156"/>
      <c r="L98" s="156">
        <v>86.66666666666667</v>
      </c>
      <c r="M98" s="156">
        <v>96.25</v>
      </c>
      <c r="N98" s="156">
        <v>85</v>
      </c>
      <c r="O98" s="156">
        <v>97.5</v>
      </c>
      <c r="P98" s="156">
        <v>94.16666666666667</v>
      </c>
      <c r="Q98" s="156">
        <v>0</v>
      </c>
      <c r="R98" s="156"/>
      <c r="S98" s="156">
        <v>0</v>
      </c>
      <c r="T98" s="156">
        <f t="shared" si="12"/>
        <v>459.58333333333337</v>
      </c>
      <c r="U98" s="156">
        <f t="shared" si="13"/>
        <v>1202582.6541666668</v>
      </c>
      <c r="V98" s="156"/>
      <c r="W98" s="156"/>
      <c r="X98" s="156"/>
      <c r="Y98" s="156"/>
      <c r="Z98" s="156"/>
      <c r="AA98" s="156">
        <f t="shared" si="14"/>
        <v>0</v>
      </c>
      <c r="AB98" s="156">
        <v>0</v>
      </c>
      <c r="AC98" s="156">
        <f t="shared" si="15"/>
        <v>0</v>
      </c>
      <c r="AD98" s="156">
        <v>15928.333333333334</v>
      </c>
      <c r="AE98" s="156">
        <v>30297.5</v>
      </c>
      <c r="AF98" s="156">
        <v>62795.416666666664</v>
      </c>
      <c r="AG98" s="156">
        <v>7719.166666666667</v>
      </c>
      <c r="AH98" s="156">
        <v>37677.5</v>
      </c>
      <c r="AI98" s="156"/>
      <c r="AJ98" s="156">
        <v>0</v>
      </c>
      <c r="AK98" s="156">
        <f t="shared" si="16"/>
        <v>154417.9166666667</v>
      </c>
      <c r="AL98" s="156">
        <v>0</v>
      </c>
      <c r="AM98" s="156">
        <v>0</v>
      </c>
      <c r="AN98" s="156">
        <v>30490.416666666668</v>
      </c>
      <c r="AO98" s="156">
        <v>1679.5833333333333</v>
      </c>
      <c r="AP98" s="156">
        <v>73070.83333333333</v>
      </c>
      <c r="AQ98" s="156">
        <v>6211.666666666667</v>
      </c>
      <c r="AR98" s="156">
        <f t="shared" si="17"/>
        <v>111452.5</v>
      </c>
      <c r="AS98" s="156">
        <v>90580.41666666667</v>
      </c>
      <c r="AT98" s="156">
        <v>20628.333333333332</v>
      </c>
      <c r="AU98" s="156"/>
      <c r="AV98" s="156"/>
      <c r="AW98" s="156">
        <v>0</v>
      </c>
      <c r="AX98" s="156">
        <v>0</v>
      </c>
      <c r="AY98" s="156">
        <v>18787.5</v>
      </c>
      <c r="AZ98" s="156">
        <v>0</v>
      </c>
      <c r="BA98" s="156">
        <f t="shared" si="18"/>
        <v>129996.25</v>
      </c>
      <c r="BB98" s="156"/>
      <c r="BC98" s="156">
        <v>1883.75</v>
      </c>
      <c r="BD98" s="156">
        <v>0</v>
      </c>
      <c r="BE98" s="156">
        <f t="shared" si="19"/>
        <v>1883.75</v>
      </c>
      <c r="BF98" s="156">
        <v>9.583333333333334</v>
      </c>
      <c r="BG98" s="156">
        <f t="shared" si="20"/>
        <v>1600342.6541666668</v>
      </c>
      <c r="DD98" s="175"/>
      <c r="DE98" s="126" t="s">
        <v>33</v>
      </c>
      <c r="DF98" s="126" t="s">
        <v>33</v>
      </c>
      <c r="DG98" s="126" t="s">
        <v>33</v>
      </c>
      <c r="DH98" s="126" t="s">
        <v>33</v>
      </c>
      <c r="DI98" s="126" t="s">
        <v>33</v>
      </c>
      <c r="DJ98" s="126" t="s">
        <v>33</v>
      </c>
      <c r="DK98" s="126" t="s">
        <v>33</v>
      </c>
      <c r="DL98" s="126" t="s">
        <v>33</v>
      </c>
      <c r="DM98" s="126" t="s">
        <v>33</v>
      </c>
      <c r="DN98" s="126" t="s">
        <v>33</v>
      </c>
      <c r="DO98" s="126" t="s">
        <v>33</v>
      </c>
      <c r="DP98" s="126" t="s">
        <v>33</v>
      </c>
      <c r="DQ98" s="126" t="s">
        <v>33</v>
      </c>
      <c r="DR98" s="126" t="s">
        <v>33</v>
      </c>
      <c r="DS98" s="126" t="s">
        <v>33</v>
      </c>
      <c r="DT98" s="122">
        <f t="shared" si="21"/>
        <v>0</v>
      </c>
    </row>
    <row r="99" spans="1:108" ht="11.25" customHeight="1" thickBot="1">
      <c r="A99" s="177"/>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c r="AV99" s="177"/>
      <c r="AW99" s="177"/>
      <c r="AX99" s="177"/>
      <c r="AY99" s="177"/>
      <c r="AZ99" s="177"/>
      <c r="BA99" s="177"/>
      <c r="BB99" s="177"/>
      <c r="BC99" s="177"/>
      <c r="BD99" s="177"/>
      <c r="BE99" s="177"/>
      <c r="BF99" s="177"/>
      <c r="BG99" s="177"/>
      <c r="DD99" s="162"/>
    </row>
    <row r="100" spans="1:124" ht="13.5" thickBot="1" thickTop="1">
      <c r="A100" s="697" t="s">
        <v>624</v>
      </c>
      <c r="B100" s="697"/>
      <c r="C100" s="165"/>
      <c r="D100" s="166"/>
      <c r="E100" s="166"/>
      <c r="F100" s="166"/>
      <c r="G100" s="167"/>
      <c r="H100" s="164">
        <f aca="true" t="shared" si="22" ref="H100:AM100">SUM(H86:H99)</f>
        <v>0</v>
      </c>
      <c r="I100" s="164">
        <f t="shared" si="22"/>
        <v>0</v>
      </c>
      <c r="J100" s="164">
        <f t="shared" si="22"/>
        <v>0</v>
      </c>
      <c r="K100" s="164">
        <f t="shared" si="22"/>
        <v>0</v>
      </c>
      <c r="L100" s="164">
        <f t="shared" si="22"/>
        <v>2809.6666666666665</v>
      </c>
      <c r="M100" s="164">
        <f t="shared" si="22"/>
        <v>2779.25</v>
      </c>
      <c r="N100" s="164">
        <f t="shared" si="22"/>
        <v>2801</v>
      </c>
      <c r="O100" s="164">
        <f t="shared" si="22"/>
        <v>2864.5</v>
      </c>
      <c r="P100" s="164">
        <f t="shared" si="22"/>
        <v>2829.1666666666665</v>
      </c>
      <c r="Q100" s="164">
        <f t="shared" si="22"/>
        <v>97</v>
      </c>
      <c r="R100" s="164">
        <f t="shared" si="22"/>
        <v>0</v>
      </c>
      <c r="S100" s="164">
        <f t="shared" si="22"/>
        <v>735</v>
      </c>
      <c r="T100" s="178">
        <f t="shared" si="22"/>
        <v>14915.583333333334</v>
      </c>
      <c r="U100" s="164">
        <f t="shared" si="22"/>
        <v>36776050.68416667</v>
      </c>
      <c r="V100" s="164">
        <f t="shared" si="22"/>
        <v>0</v>
      </c>
      <c r="W100" s="164">
        <f t="shared" si="22"/>
        <v>0</v>
      </c>
      <c r="X100" s="164">
        <f t="shared" si="22"/>
        <v>0</v>
      </c>
      <c r="Y100" s="164">
        <f t="shared" si="22"/>
        <v>0</v>
      </c>
      <c r="Z100" s="164">
        <f t="shared" si="22"/>
        <v>0</v>
      </c>
      <c r="AA100" s="164">
        <f t="shared" si="22"/>
        <v>0</v>
      </c>
      <c r="AB100" s="164">
        <f t="shared" si="22"/>
        <v>3074404</v>
      </c>
      <c r="AC100" s="164">
        <f t="shared" si="22"/>
        <v>3074404</v>
      </c>
      <c r="AD100" s="164">
        <f t="shared" si="22"/>
        <v>228079.33333333334</v>
      </c>
      <c r="AE100" s="164">
        <f t="shared" si="22"/>
        <v>445078.5</v>
      </c>
      <c r="AF100" s="164">
        <f t="shared" si="22"/>
        <v>922473.4166666666</v>
      </c>
      <c r="AG100" s="164">
        <f t="shared" si="22"/>
        <v>113393.16666666667</v>
      </c>
      <c r="AH100" s="164">
        <f t="shared" si="22"/>
        <v>443706.5</v>
      </c>
      <c r="AI100" s="164">
        <f t="shared" si="22"/>
        <v>0</v>
      </c>
      <c r="AJ100" s="164">
        <f t="shared" si="22"/>
        <v>891766</v>
      </c>
      <c r="AK100" s="164">
        <f t="shared" si="22"/>
        <v>3044496.9166666665</v>
      </c>
      <c r="AL100" s="164">
        <f t="shared" si="22"/>
        <v>0</v>
      </c>
      <c r="AM100" s="164">
        <f t="shared" si="22"/>
        <v>0</v>
      </c>
      <c r="AN100" s="164">
        <f aca="true" t="shared" si="23" ref="AN100:BG100">SUM(AN86:AN99)</f>
        <v>823197.4166666666</v>
      </c>
      <c r="AO100" s="164">
        <f t="shared" si="23"/>
        <v>71198.58333333333</v>
      </c>
      <c r="AP100" s="164">
        <f t="shared" si="23"/>
        <v>2067701.8333333333</v>
      </c>
      <c r="AQ100" s="164">
        <f t="shared" si="23"/>
        <v>163226.66666666666</v>
      </c>
      <c r="AR100" s="164">
        <f t="shared" si="23"/>
        <v>3125324.5</v>
      </c>
      <c r="AS100" s="164">
        <f t="shared" si="23"/>
        <v>2800960.4166666665</v>
      </c>
      <c r="AT100" s="164">
        <f t="shared" si="23"/>
        <v>242927.33333333334</v>
      </c>
      <c r="AU100" s="164">
        <f t="shared" si="23"/>
        <v>0</v>
      </c>
      <c r="AV100" s="164">
        <f t="shared" si="23"/>
        <v>0</v>
      </c>
      <c r="AW100" s="164">
        <f t="shared" si="23"/>
        <v>97249</v>
      </c>
      <c r="AX100" s="164">
        <f t="shared" si="23"/>
        <v>34576</v>
      </c>
      <c r="AY100" s="164">
        <f t="shared" si="23"/>
        <v>654604.5</v>
      </c>
      <c r="AZ100" s="164">
        <f t="shared" si="23"/>
        <v>12000</v>
      </c>
      <c r="BA100" s="164">
        <f t="shared" si="23"/>
        <v>3842317.25</v>
      </c>
      <c r="BB100" s="164">
        <f t="shared" si="23"/>
        <v>0</v>
      </c>
      <c r="BC100" s="164">
        <f t="shared" si="23"/>
        <v>94670.75</v>
      </c>
      <c r="BD100" s="164">
        <f t="shared" si="23"/>
        <v>-284336</v>
      </c>
      <c r="BE100" s="164">
        <f t="shared" si="23"/>
        <v>-189665.25</v>
      </c>
      <c r="BF100" s="164">
        <f t="shared" si="23"/>
        <v>3946.5833333333335</v>
      </c>
      <c r="BG100" s="164">
        <f t="shared" si="23"/>
        <v>49676874.68416666</v>
      </c>
      <c r="DD100" s="162" t="str">
        <f>A100</f>
        <v>Secondary Total</v>
      </c>
      <c r="DG100" s="169">
        <v>36776050.68416667</v>
      </c>
      <c r="DH100" s="169">
        <v>0</v>
      </c>
      <c r="DI100" s="169">
        <v>3074404</v>
      </c>
      <c r="DJ100" s="169">
        <v>3044496.9166666665</v>
      </c>
      <c r="DK100" s="169">
        <v>0</v>
      </c>
      <c r="DL100" s="169">
        <v>0</v>
      </c>
      <c r="DM100" s="169">
        <v>3125324.5</v>
      </c>
      <c r="DN100" s="169">
        <v>3842317.25</v>
      </c>
      <c r="DO100" s="169">
        <v>-189665.25</v>
      </c>
      <c r="DP100" s="169">
        <v>3946.5833333333335</v>
      </c>
      <c r="DQ100" s="169">
        <v>49676874.68416666</v>
      </c>
      <c r="DR100" s="133"/>
      <c r="DS100" s="169">
        <v>14915.583333333334</v>
      </c>
      <c r="DT100" s="122">
        <f>IF(OR(LEFT(DG100,1)="E",LEFT(DH100,1)="E",LEFT(DI100,1)="E",LEFT(DJ100,1)="E",LEFT(DK100,1)="E",LEFT(DL100,1)="E",LEFT(DM100,1)="E",LEFT(DN100,1)="E",LEFT(DO100,1)="E",LEFT(DP100,1)="E",LEFT(DQ100,1)="E",LEFT(DS100,1)="E"),1,0)</f>
        <v>0</v>
      </c>
    </row>
    <row r="101" ht="12.75" thickTop="1">
      <c r="DD101" s="162"/>
    </row>
    <row r="102" spans="1:108" ht="34.5" customHeight="1">
      <c r="A102" s="694" t="s">
        <v>625</v>
      </c>
      <c r="B102" s="695"/>
      <c r="C102" s="157"/>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79">
        <f>+AD98*2.4*0.583333333333333</f>
        <v>22299.666666666668</v>
      </c>
      <c r="AE102" s="158"/>
      <c r="AF102" s="158"/>
      <c r="AG102" s="158"/>
      <c r="AH102" s="158"/>
      <c r="AI102" s="179"/>
      <c r="AJ102" s="158"/>
      <c r="AK102" s="179">
        <f>SUM(AD102,AI102)</f>
        <v>22299.666666666668</v>
      </c>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9"/>
      <c r="DD102" s="162"/>
    </row>
    <row r="103" spans="30:108" ht="12">
      <c r="AD103" s="181"/>
      <c r="DD103" s="162"/>
    </row>
    <row r="104" ht="12">
      <c r="DD104" s="177"/>
    </row>
    <row r="105" spans="20:108" ht="12">
      <c r="T105" s="182"/>
      <c r="DD105" s="177"/>
    </row>
    <row r="106" ht="12">
      <c r="DD106" s="177"/>
    </row>
    <row r="107" ht="12">
      <c r="DD107" s="177"/>
    </row>
    <row r="108" ht="12">
      <c r="DD108" s="177"/>
    </row>
    <row r="109" ht="12">
      <c r="DD109" s="177"/>
    </row>
  </sheetData>
  <mergeCells count="152">
    <mergeCell ref="T1:T2"/>
    <mergeCell ref="U1:U2"/>
    <mergeCell ref="AA1:AA2"/>
    <mergeCell ref="AC1:AC2"/>
    <mergeCell ref="AK1:AK2"/>
    <mergeCell ref="AL1:AL2"/>
    <mergeCell ref="AM1:AM2"/>
    <mergeCell ref="BG1:BG2"/>
    <mergeCell ref="BH1:BH13"/>
    <mergeCell ref="AR1:AR2"/>
    <mergeCell ref="BA1:BA2"/>
    <mergeCell ref="BE1:BE2"/>
    <mergeCell ref="BF1:BF2"/>
    <mergeCell ref="AS3:BA3"/>
    <mergeCell ref="BB3:BE3"/>
    <mergeCell ref="BF3:BF11"/>
    <mergeCell ref="BG3:BG11"/>
    <mergeCell ref="AT4:AT8"/>
    <mergeCell ref="A3:B3"/>
    <mergeCell ref="C3:U3"/>
    <mergeCell ref="V3:AA3"/>
    <mergeCell ref="AB3:AC3"/>
    <mergeCell ref="AD3:AK3"/>
    <mergeCell ref="AL3:AL11"/>
    <mergeCell ref="AM3:AM11"/>
    <mergeCell ref="AN3:AR3"/>
    <mergeCell ref="AG4:AG8"/>
    <mergeCell ref="AH4:AH8"/>
    <mergeCell ref="AI4:AJ5"/>
    <mergeCell ref="AK4:AK11"/>
    <mergeCell ref="AN4:AN8"/>
    <mergeCell ref="AO4:AO8"/>
    <mergeCell ref="AU4:AU8"/>
    <mergeCell ref="AV4:AV8"/>
    <mergeCell ref="AW4:AW8"/>
    <mergeCell ref="AX4:AX8"/>
    <mergeCell ref="AY4:AY8"/>
    <mergeCell ref="A4:B8"/>
    <mergeCell ref="C4:C8"/>
    <mergeCell ref="D4:D8"/>
    <mergeCell ref="E4:E8"/>
    <mergeCell ref="F4:F5"/>
    <mergeCell ref="G4:G5"/>
    <mergeCell ref="H4:H5"/>
    <mergeCell ref="I4:I5"/>
    <mergeCell ref="J4:J5"/>
    <mergeCell ref="K4:K5"/>
    <mergeCell ref="L4:L5"/>
    <mergeCell ref="M4:M5"/>
    <mergeCell ref="N4:N5"/>
    <mergeCell ref="O4:O5"/>
    <mergeCell ref="P4:P5"/>
    <mergeCell ref="Q4:Q8"/>
    <mergeCell ref="W4:X5"/>
    <mergeCell ref="Y4:Y8"/>
    <mergeCell ref="Z4:Z8"/>
    <mergeCell ref="R4:R8"/>
    <mergeCell ref="S4:S8"/>
    <mergeCell ref="T4:T11"/>
    <mergeCell ref="U4:U11"/>
    <mergeCell ref="AP4:AP8"/>
    <mergeCell ref="AQ4:AQ8"/>
    <mergeCell ref="AR4:AR11"/>
    <mergeCell ref="AS4:AS8"/>
    <mergeCell ref="AZ4:AZ8"/>
    <mergeCell ref="BA4:BA11"/>
    <mergeCell ref="BB4:BB8"/>
    <mergeCell ref="BC4:BC8"/>
    <mergeCell ref="BD4:BD8"/>
    <mergeCell ref="BE4:BE11"/>
    <mergeCell ref="F6:G8"/>
    <mergeCell ref="H6:K8"/>
    <mergeCell ref="L6:N8"/>
    <mergeCell ref="O6:P8"/>
    <mergeCell ref="W6:W8"/>
    <mergeCell ref="X6:X8"/>
    <mergeCell ref="AD6:AD8"/>
    <mergeCell ref="AE6:AE8"/>
    <mergeCell ref="A11:B11"/>
    <mergeCell ref="A12:A13"/>
    <mergeCell ref="B12:B13"/>
    <mergeCell ref="C12:C13"/>
    <mergeCell ref="AI6:AI8"/>
    <mergeCell ref="AJ6:AJ8"/>
    <mergeCell ref="A9:B9"/>
    <mergeCell ref="A10:B10"/>
    <mergeCell ref="AA4:AA11"/>
    <mergeCell ref="AB4:AB8"/>
    <mergeCell ref="AC4:AC11"/>
    <mergeCell ref="AD4:AF5"/>
    <mergeCell ref="AF6:AF8"/>
    <mergeCell ref="V4:V8"/>
    <mergeCell ref="D12:D13"/>
    <mergeCell ref="E12:E13"/>
    <mergeCell ref="F12:F13"/>
    <mergeCell ref="G12:G13"/>
    <mergeCell ref="H12:H13"/>
    <mergeCell ref="I12:I13"/>
    <mergeCell ref="J12:J13"/>
    <mergeCell ref="K12:K13"/>
    <mergeCell ref="L12:L13"/>
    <mergeCell ref="M12:M13"/>
    <mergeCell ref="N12:N13"/>
    <mergeCell ref="O12:O13"/>
    <mergeCell ref="P12:P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G12:AG13"/>
    <mergeCell ref="AH12:AH13"/>
    <mergeCell ref="AI12:AI13"/>
    <mergeCell ref="AJ12:AJ13"/>
    <mergeCell ref="AK12:AK13"/>
    <mergeCell ref="AL12:AL13"/>
    <mergeCell ref="AM12:AM13"/>
    <mergeCell ref="AN12:AN13"/>
    <mergeCell ref="AO12:AO13"/>
    <mergeCell ref="AP12:AP13"/>
    <mergeCell ref="AQ12:AQ13"/>
    <mergeCell ref="AR12:AR13"/>
    <mergeCell ref="AS12:AS13"/>
    <mergeCell ref="AT12:AT13"/>
    <mergeCell ref="AU12:AU13"/>
    <mergeCell ref="AV12:AV13"/>
    <mergeCell ref="AW12:AW13"/>
    <mergeCell ref="AX12:AX13"/>
    <mergeCell ref="AY12:AY13"/>
    <mergeCell ref="AZ12:AZ13"/>
    <mergeCell ref="BE12:BE13"/>
    <mergeCell ref="BF12:BF13"/>
    <mergeCell ref="BG12:BG13"/>
    <mergeCell ref="BA12:BA13"/>
    <mergeCell ref="BB12:BB13"/>
    <mergeCell ref="BC12:BC13"/>
    <mergeCell ref="BD12:BD13"/>
    <mergeCell ref="A102:B102"/>
    <mergeCell ref="A85:B85"/>
    <mergeCell ref="A100:B100"/>
    <mergeCell ref="A14:B14"/>
    <mergeCell ref="A83:B83"/>
  </mergeCells>
  <conditionalFormatting sqref="U15:U81 U86:U98">
    <cfRule type="expression" priority="1" dxfId="0" stopIfTrue="1">
      <formula>AND(LEFT(DG15,1)="E",U15="")</formula>
    </cfRule>
    <cfRule type="expression" priority="2" dxfId="1" stopIfTrue="1">
      <formula>LEFT(DG15,1)="E"</formula>
    </cfRule>
    <cfRule type="expression" priority="3" dxfId="2" stopIfTrue="1">
      <formula>LEFT(DG15,1)="W"</formula>
    </cfRule>
  </conditionalFormatting>
  <conditionalFormatting sqref="AA15:AA81 AA86:AA98">
    <cfRule type="expression" priority="4" dxfId="0" stopIfTrue="1">
      <formula>AND(LEFT(DH15,1)="E",AA15="")</formula>
    </cfRule>
    <cfRule type="expression" priority="5" dxfId="1" stopIfTrue="1">
      <formula>LEFT(DH15,1)="E"</formula>
    </cfRule>
    <cfRule type="expression" priority="6" dxfId="2" stopIfTrue="1">
      <formula>LEFT(DH15,1)="W"</formula>
    </cfRule>
  </conditionalFormatting>
  <conditionalFormatting sqref="AC15:AC81 AC86:AC98">
    <cfRule type="expression" priority="7" dxfId="0" stopIfTrue="1">
      <formula>AND(LEFT(DI15,1)="E",AC15="")</formula>
    </cfRule>
    <cfRule type="expression" priority="8" dxfId="1" stopIfTrue="1">
      <formula>LEFT(DI15,1)="E"</formula>
    </cfRule>
    <cfRule type="expression" priority="9" dxfId="2" stopIfTrue="1">
      <formula>LEFT(DI15,1)="W"</formula>
    </cfRule>
  </conditionalFormatting>
  <conditionalFormatting sqref="AK15:AM81 BC86:BC98 AK86:AM98">
    <cfRule type="expression" priority="10" dxfId="0" stopIfTrue="1">
      <formula>AND(LEFT(DJ15,1)="E",AK15="")</formula>
    </cfRule>
    <cfRule type="expression" priority="11" dxfId="1" stopIfTrue="1">
      <formula>LEFT(DJ15,1)="E"</formula>
    </cfRule>
    <cfRule type="expression" priority="12" dxfId="2" stopIfTrue="1">
      <formula>LEFT(DJ15,1)="W"</formula>
    </cfRule>
  </conditionalFormatting>
  <conditionalFormatting sqref="AR15:AR81 AR86:AR98">
    <cfRule type="expression" priority="13" dxfId="0" stopIfTrue="1">
      <formula>AND(LEFT(DM15,1)="E",AR15="")</formula>
    </cfRule>
    <cfRule type="expression" priority="14" dxfId="1" stopIfTrue="1">
      <formula>LEFT(DM15,1)="E"</formula>
    </cfRule>
    <cfRule type="expression" priority="15" dxfId="2" stopIfTrue="1">
      <formula>LEFT(DM15,1)="W"</formula>
    </cfRule>
  </conditionalFormatting>
  <conditionalFormatting sqref="BA15:BA81 BA86:BA98">
    <cfRule type="expression" priority="16" dxfId="0" stopIfTrue="1">
      <formula>AND(LEFT(DN15,1)="E",BA15="")</formula>
    </cfRule>
    <cfRule type="expression" priority="17" dxfId="1" stopIfTrue="1">
      <formula>LEFT(DN15,1)="E"</formula>
    </cfRule>
    <cfRule type="expression" priority="18" dxfId="2" stopIfTrue="1">
      <formula>LEFT(DN15,1)="W"</formula>
    </cfRule>
  </conditionalFormatting>
  <conditionalFormatting sqref="BE15:BG81 BE86:BG98">
    <cfRule type="expression" priority="19" dxfId="0" stopIfTrue="1">
      <formula>AND(LEFT(DO15,1)="E",BE15="")</formula>
    </cfRule>
    <cfRule type="expression" priority="20" dxfId="1" stopIfTrue="1">
      <formula>LEFT(DO15,1)="E"</formula>
    </cfRule>
    <cfRule type="expression" priority="21" dxfId="2" stopIfTrue="1">
      <formula>LEFT(DO15,1)="W"</formula>
    </cfRule>
  </conditionalFormatting>
  <conditionalFormatting sqref="S86:S98 T15:T81">
    <cfRule type="expression" priority="22" dxfId="0" stopIfTrue="1">
      <formula>AND(LEFT(DR15,1)="E",S15="")</formula>
    </cfRule>
    <cfRule type="expression" priority="23" dxfId="1" stopIfTrue="1">
      <formula>LEFT(DR15,1)="E"</formula>
    </cfRule>
    <cfRule type="expression" priority="24" dxfId="2" stopIfTrue="1">
      <formula>LEFT(DR15,1)="W"</formula>
    </cfRule>
  </conditionalFormatting>
  <conditionalFormatting sqref="A15:B81 A86:B98">
    <cfRule type="expression" priority="25" dxfId="1" stopIfTrue="1">
      <formula>LEFT(DE15,1)="E"</formula>
    </cfRule>
    <cfRule type="expression" priority="26" dxfId="2" stopIfTrue="1">
      <formula>LEFT(DE15,1)="W"</formula>
    </cfRule>
  </conditionalFormatting>
  <conditionalFormatting sqref="T86:T98">
    <cfRule type="expression" priority="27" dxfId="0" stopIfTrue="1">
      <formula>AND(LEFT(DL86,1)="E",T86="")</formula>
    </cfRule>
    <cfRule type="expression" priority="28" dxfId="1" stopIfTrue="1">
      <formula>LEFT(DL86,1)="E"</formula>
    </cfRule>
    <cfRule type="expression" priority="29" dxfId="2" stopIfTrue="1">
      <formula>LEFT(DL86,1)="W"</formula>
    </cfRule>
  </conditionalFormatting>
  <hyperlinks>
    <hyperlink ref="V3:AA3" r:id="rId1" display="Additional Pupil Led Funding"/>
    <hyperlink ref="BB3:BE3" r:id="rId2" display="Budget adjustments"/>
    <hyperlink ref="B12:B13" r:id="rId3" display="(2) DfES number"/>
    <hyperlink ref="C3:U3" r:id="rId4" display="Pupils funded by year/age groups - age-weighted funding"/>
    <hyperlink ref="A12:A13" r:id="rId5" display="(1) School name"/>
    <hyperlink ref="C12:C13" r:id="rId6" display="Pupils"/>
    <hyperlink ref="D12:D13" r:id="rId7" display="Pupils"/>
    <hyperlink ref="E12:E13" r:id="rId8" display="Pupils"/>
    <hyperlink ref="F12:F13" r:id="rId9" display="Pupils"/>
    <hyperlink ref="G12:G13" r:id="rId10" display="Pupils"/>
    <hyperlink ref="H12:H13" r:id="rId11" display="Pupils"/>
    <hyperlink ref="I12:I13" r:id="rId12" display="Pupils"/>
    <hyperlink ref="J12:J13" r:id="rId13" display="Pupils"/>
    <hyperlink ref="K12:K13" r:id="rId14" display="Pupils"/>
    <hyperlink ref="L12:L13" r:id="rId15" display="Pupils"/>
    <hyperlink ref="P12:P13" r:id="rId16" display="Pupils"/>
    <hyperlink ref="O12:O13" r:id="rId17" display="Pupils"/>
    <hyperlink ref="N12:N13" r:id="rId18" display="Pupils"/>
    <hyperlink ref="M12:M13" r:id="rId19" display="Pupils"/>
    <hyperlink ref="S12:S13" r:id="rId20" display="Pupils"/>
    <hyperlink ref="R12:R13" r:id="rId21" display="Pupils"/>
    <hyperlink ref="AN3:AR3" r:id="rId22" display="Site-specific factors"/>
    <hyperlink ref="AS3:BA3" r:id="rId23" display="School-specific factors"/>
    <hyperlink ref="AL3:AL11" r:id="rId24" display="INSTRUCTIONS AND GUIDANCE FOR FINANCIAL REPORTING ON"/>
    <hyperlink ref="BG3:BG11" r:id="rId25" display="INSTRUCTIONS AND GUIDANCE FOR FINANCIAL REPORTING ON"/>
    <hyperlink ref="AM3:AM11" r:id="rId26" display="INSTRUCTIONS AND GUIDANCE FOR FINANCIAL REPORTING ON"/>
    <hyperlink ref="AD3:AK3" r:id="rId27" display="Special educational needs (pupil led)"/>
    <hyperlink ref="AG3" r:id="rId28" display="Additional Pupil Led Funding"/>
    <hyperlink ref="AH3" r:id="rId29" display="Additional Pupil Led Funding"/>
  </hyperlinks>
  <printOptions/>
  <pageMargins left="0.22" right="0.16" top="0.32" bottom="0.29" header="0.17" footer="0.17"/>
  <pageSetup horizontalDpi="600" verticalDpi="600" orientation="landscape" paperSize="9" r:id="rId30"/>
  <colBreaks count="3" manualBreakCount="3">
    <brk id="29" max="101" man="1"/>
    <brk id="39" max="101" man="1"/>
    <brk id="53" max="101" man="1"/>
  </colBreaks>
</worksheet>
</file>

<file path=xl/worksheets/sheet7.xml><?xml version="1.0" encoding="utf-8"?>
<worksheet xmlns="http://schemas.openxmlformats.org/spreadsheetml/2006/main" xmlns:r="http://schemas.openxmlformats.org/officeDocument/2006/relationships">
  <dimension ref="A1:DN20"/>
  <sheetViews>
    <sheetView workbookViewId="0" topLeftCell="A1">
      <selection activeCell="A1" sqref="A1"/>
    </sheetView>
  </sheetViews>
  <sheetFormatPr defaultColWidth="9.140625" defaultRowHeight="12"/>
  <cols>
    <col min="1" max="1" width="18.421875" style="0" customWidth="1"/>
    <col min="2" max="2" width="6.7109375" style="0" customWidth="1"/>
    <col min="3" max="3" width="11.7109375" style="0" customWidth="1"/>
    <col min="4" max="6" width="7.00390625" style="0" bestFit="1" customWidth="1"/>
    <col min="7" max="12" width="7.8515625" style="0" bestFit="1" customWidth="1"/>
    <col min="13" max="13" width="6.28125" style="0" bestFit="1" customWidth="1"/>
    <col min="14" max="14" width="9.28125" style="0" customWidth="1"/>
    <col min="17" max="17" width="10.421875" style="0" customWidth="1"/>
    <col min="18" max="18" width="7.8515625" style="0" customWidth="1"/>
    <col min="19" max="19" width="7.00390625" style="0" customWidth="1"/>
    <col min="20" max="20" width="5.57421875" style="0" customWidth="1"/>
    <col min="21" max="21" width="8.00390625" style="0" customWidth="1"/>
    <col min="22" max="22" width="7.8515625" style="0" customWidth="1"/>
    <col min="25" max="25" width="9.421875" style="0" customWidth="1"/>
    <col min="28" max="28" width="10.7109375" style="0" customWidth="1"/>
    <col min="29" max="29" width="9.28125" style="0" bestFit="1" customWidth="1"/>
    <col min="30" max="30" width="8.140625" style="0" bestFit="1" customWidth="1"/>
    <col min="93" max="104" width="7.7109375" style="0" hidden="1" customWidth="1"/>
    <col min="105" max="105" width="6.28125" style="0" hidden="1" customWidth="1"/>
    <col min="106" max="106" width="3.8515625" style="0" hidden="1" customWidth="1"/>
    <col min="107" max="118" width="2.8515625" style="0" hidden="1" customWidth="1"/>
  </cols>
  <sheetData>
    <row r="1" spans="1:118" ht="13.5" thickBot="1">
      <c r="A1" s="426" t="str">
        <f>+SBST!A1</f>
        <v>SOLIHULL SECTION 52 EDUCATION BUDGET STATEMENT 2006-07 Version 3 Published 3 August 2006</v>
      </c>
      <c r="B1" s="427"/>
      <c r="C1" s="427"/>
      <c r="D1" s="427"/>
      <c r="E1" s="430"/>
      <c r="F1" s="427"/>
      <c r="G1" s="427"/>
      <c r="H1" s="427"/>
      <c r="I1" s="427"/>
      <c r="J1" s="427"/>
      <c r="K1" s="428"/>
      <c r="L1" s="429"/>
      <c r="M1" s="773"/>
      <c r="N1" s="773"/>
      <c r="P1" s="773"/>
      <c r="Q1" s="773"/>
      <c r="U1" s="773"/>
      <c r="Y1" s="773"/>
      <c r="AB1" s="773"/>
      <c r="AC1" s="773"/>
      <c r="AD1" s="773"/>
      <c r="AE1" s="773"/>
      <c r="CO1" s="123"/>
      <c r="CP1" s="123"/>
      <c r="CQ1" s="123"/>
      <c r="CR1" s="123"/>
      <c r="CS1" s="123"/>
      <c r="CT1" s="123"/>
      <c r="CU1" s="123"/>
      <c r="CV1" s="123"/>
      <c r="CW1" s="123"/>
      <c r="CX1" s="123"/>
      <c r="CY1" s="123"/>
      <c r="CZ1" s="123"/>
      <c r="DA1" s="183"/>
      <c r="DB1" s="123"/>
      <c r="DC1" s="123"/>
      <c r="DD1" s="123"/>
      <c r="DE1" s="123"/>
      <c r="DF1" s="123"/>
      <c r="DG1" s="123"/>
      <c r="DH1" s="123"/>
      <c r="DI1" s="123"/>
      <c r="DJ1" s="123"/>
      <c r="DK1" s="123"/>
      <c r="DL1" s="123"/>
      <c r="DM1" s="123"/>
      <c r="DN1" s="123"/>
    </row>
    <row r="2" spans="1:118" ht="13.5" thickBot="1">
      <c r="A2" s="426" t="s">
        <v>626</v>
      </c>
      <c r="B2" s="430"/>
      <c r="C2" s="431"/>
      <c r="M2" s="773"/>
      <c r="N2" s="773"/>
      <c r="P2" s="773"/>
      <c r="Q2" s="773"/>
      <c r="U2" s="773"/>
      <c r="Y2" s="773"/>
      <c r="AB2" s="773"/>
      <c r="AC2" s="773"/>
      <c r="AD2" s="773"/>
      <c r="AE2" s="773"/>
      <c r="CO2" s="124"/>
      <c r="CP2" s="124"/>
      <c r="CQ2" s="124"/>
      <c r="CR2" s="124"/>
      <c r="CS2" s="124"/>
      <c r="CT2" s="124"/>
      <c r="CU2" s="124"/>
      <c r="CV2" s="124"/>
      <c r="CW2" s="124"/>
      <c r="CX2" s="124"/>
      <c r="CY2" s="124"/>
      <c r="CZ2" s="124"/>
      <c r="DA2" s="184"/>
      <c r="DB2" s="124"/>
      <c r="DC2" s="124"/>
      <c r="DD2" s="124"/>
      <c r="DE2" s="124"/>
      <c r="DF2" s="124"/>
      <c r="DG2" s="124"/>
      <c r="DH2" s="124"/>
      <c r="DI2" s="124"/>
      <c r="DJ2" s="124"/>
      <c r="DK2" s="124"/>
      <c r="DL2" s="124"/>
      <c r="DM2" s="124"/>
      <c r="DN2" s="124"/>
    </row>
    <row r="3" spans="1:105" ht="12.75" customHeight="1">
      <c r="A3" s="763" t="s">
        <v>627</v>
      </c>
      <c r="B3" s="764"/>
      <c r="C3" s="790" t="s">
        <v>628</v>
      </c>
      <c r="D3" s="766"/>
      <c r="E3" s="766"/>
      <c r="F3" s="766"/>
      <c r="G3" s="766"/>
      <c r="H3" s="766"/>
      <c r="I3" s="766"/>
      <c r="J3" s="766"/>
      <c r="K3" s="766"/>
      <c r="L3" s="766"/>
      <c r="M3" s="766"/>
      <c r="N3" s="767"/>
      <c r="O3" s="768" t="s">
        <v>629</v>
      </c>
      <c r="P3" s="770"/>
      <c r="Q3" s="755" t="s">
        <v>384</v>
      </c>
      <c r="R3" s="759" t="s">
        <v>535</v>
      </c>
      <c r="S3" s="760"/>
      <c r="T3" s="760"/>
      <c r="U3" s="761"/>
      <c r="V3" s="774" t="s">
        <v>536</v>
      </c>
      <c r="W3" s="775"/>
      <c r="X3" s="775"/>
      <c r="Y3" s="776"/>
      <c r="Z3" s="777" t="s">
        <v>537</v>
      </c>
      <c r="AA3" s="778"/>
      <c r="AB3" s="779"/>
      <c r="AC3" s="780" t="s">
        <v>538</v>
      </c>
      <c r="AD3" s="782" t="s">
        <v>539</v>
      </c>
      <c r="AE3" s="773"/>
      <c r="DA3" s="162"/>
    </row>
    <row r="4" spans="1:31" ht="12.75" customHeight="1">
      <c r="A4" s="750" t="s">
        <v>419</v>
      </c>
      <c r="B4" s="751"/>
      <c r="C4" s="789" t="s">
        <v>630</v>
      </c>
      <c r="D4" s="746" t="s">
        <v>631</v>
      </c>
      <c r="E4" s="746" t="s">
        <v>632</v>
      </c>
      <c r="F4" s="746" t="s">
        <v>633</v>
      </c>
      <c r="G4" s="746" t="s">
        <v>634</v>
      </c>
      <c r="H4" s="746" t="s">
        <v>635</v>
      </c>
      <c r="I4" s="746" t="s">
        <v>636</v>
      </c>
      <c r="J4" s="746" t="s">
        <v>637</v>
      </c>
      <c r="K4" s="746" t="s">
        <v>638</v>
      </c>
      <c r="L4" s="746" t="s">
        <v>639</v>
      </c>
      <c r="M4" s="747" t="s">
        <v>640</v>
      </c>
      <c r="N4" s="749" t="s">
        <v>641</v>
      </c>
      <c r="O4" s="724" t="s">
        <v>642</v>
      </c>
      <c r="P4" s="731" t="s">
        <v>421</v>
      </c>
      <c r="Q4" s="756"/>
      <c r="R4" s="724" t="s">
        <v>570</v>
      </c>
      <c r="S4" s="724" t="s">
        <v>571</v>
      </c>
      <c r="T4" s="724" t="s">
        <v>569</v>
      </c>
      <c r="U4" s="745" t="s">
        <v>386</v>
      </c>
      <c r="V4" s="724" t="s">
        <v>572</v>
      </c>
      <c r="W4" s="724" t="s">
        <v>574</v>
      </c>
      <c r="X4" s="724" t="s">
        <v>643</v>
      </c>
      <c r="Y4" s="744" t="s">
        <v>387</v>
      </c>
      <c r="Z4" s="724" t="s">
        <v>580</v>
      </c>
      <c r="AA4" s="724" t="s">
        <v>644</v>
      </c>
      <c r="AB4" s="737" t="s">
        <v>388</v>
      </c>
      <c r="AC4" s="781"/>
      <c r="AD4" s="783"/>
      <c r="AE4" s="773"/>
    </row>
    <row r="5" spans="1:31" ht="12">
      <c r="A5" s="738"/>
      <c r="B5" s="739"/>
      <c r="C5" s="724"/>
      <c r="D5" s="724"/>
      <c r="E5" s="724"/>
      <c r="F5" s="724"/>
      <c r="G5" s="724"/>
      <c r="H5" s="724"/>
      <c r="I5" s="724"/>
      <c r="J5" s="724"/>
      <c r="K5" s="724"/>
      <c r="L5" s="724"/>
      <c r="M5" s="748"/>
      <c r="N5" s="749"/>
      <c r="O5" s="724"/>
      <c r="P5" s="731"/>
      <c r="Q5" s="756"/>
      <c r="R5" s="724"/>
      <c r="S5" s="724"/>
      <c r="T5" s="724"/>
      <c r="U5" s="745"/>
      <c r="V5" s="724"/>
      <c r="W5" s="724"/>
      <c r="X5" s="724"/>
      <c r="Y5" s="744"/>
      <c r="Z5" s="724"/>
      <c r="AA5" s="724"/>
      <c r="AB5" s="737"/>
      <c r="AC5" s="781"/>
      <c r="AD5" s="783"/>
      <c r="AE5" s="773"/>
    </row>
    <row r="6" spans="1:31" ht="12.75" customHeight="1">
      <c r="A6" s="738"/>
      <c r="B6" s="739"/>
      <c r="C6" s="724"/>
      <c r="D6" s="724"/>
      <c r="E6" s="724"/>
      <c r="F6" s="724"/>
      <c r="G6" s="724"/>
      <c r="H6" s="724"/>
      <c r="I6" s="724"/>
      <c r="J6" s="724"/>
      <c r="K6" s="724"/>
      <c r="L6" s="724"/>
      <c r="M6" s="748"/>
      <c r="N6" s="749"/>
      <c r="O6" s="724"/>
      <c r="P6" s="731"/>
      <c r="Q6" s="756"/>
      <c r="R6" s="724"/>
      <c r="S6" s="724"/>
      <c r="T6" s="724"/>
      <c r="U6" s="745"/>
      <c r="V6" s="724"/>
      <c r="W6" s="724"/>
      <c r="X6" s="724"/>
      <c r="Y6" s="744"/>
      <c r="Z6" s="724"/>
      <c r="AA6" s="724"/>
      <c r="AB6" s="737"/>
      <c r="AC6" s="781"/>
      <c r="AD6" s="783"/>
      <c r="AE6" s="773"/>
    </row>
    <row r="7" spans="1:31" ht="12">
      <c r="A7" s="738"/>
      <c r="B7" s="739"/>
      <c r="C7" s="724"/>
      <c r="D7" s="724"/>
      <c r="E7" s="724"/>
      <c r="F7" s="724"/>
      <c r="G7" s="724"/>
      <c r="H7" s="724"/>
      <c r="I7" s="724"/>
      <c r="J7" s="724"/>
      <c r="K7" s="724"/>
      <c r="L7" s="724"/>
      <c r="M7" s="748"/>
      <c r="N7" s="749"/>
      <c r="O7" s="724"/>
      <c r="P7" s="731"/>
      <c r="Q7" s="756"/>
      <c r="R7" s="724"/>
      <c r="S7" s="724"/>
      <c r="T7" s="724"/>
      <c r="U7" s="745"/>
      <c r="V7" s="724"/>
      <c r="W7" s="724"/>
      <c r="X7" s="724"/>
      <c r="Y7" s="744"/>
      <c r="Z7" s="724"/>
      <c r="AA7" s="724"/>
      <c r="AB7" s="737"/>
      <c r="AC7" s="781"/>
      <c r="AD7" s="783"/>
      <c r="AE7" s="773"/>
    </row>
    <row r="8" spans="1:31" ht="12" customHeight="1">
      <c r="A8" s="738"/>
      <c r="B8" s="739"/>
      <c r="C8" s="724"/>
      <c r="D8" s="724"/>
      <c r="E8" s="724"/>
      <c r="F8" s="724"/>
      <c r="G8" s="724"/>
      <c r="H8" s="724"/>
      <c r="I8" s="724"/>
      <c r="J8" s="724"/>
      <c r="K8" s="724"/>
      <c r="L8" s="724"/>
      <c r="M8" s="748"/>
      <c r="N8" s="749"/>
      <c r="O8" s="725"/>
      <c r="P8" s="731"/>
      <c r="Q8" s="756"/>
      <c r="R8" s="725"/>
      <c r="S8" s="725"/>
      <c r="T8" s="725"/>
      <c r="U8" s="745"/>
      <c r="V8" s="725"/>
      <c r="W8" s="725"/>
      <c r="X8" s="725"/>
      <c r="Y8" s="744"/>
      <c r="Z8" s="725"/>
      <c r="AA8" s="725"/>
      <c r="AB8" s="737"/>
      <c r="AC8" s="781"/>
      <c r="AD8" s="783"/>
      <c r="AE8" s="773"/>
    </row>
    <row r="9" spans="1:31" ht="12.75" customHeight="1">
      <c r="A9" s="727" t="s">
        <v>645</v>
      </c>
      <c r="B9" s="728"/>
      <c r="C9" s="185">
        <v>7086.95</v>
      </c>
      <c r="D9" s="185">
        <v>6126.976809066927</v>
      </c>
      <c r="E9" s="185">
        <v>8969.14391455984</v>
      </c>
      <c r="F9" s="185">
        <v>8909.843914559842</v>
      </c>
      <c r="G9" s="185">
        <v>13631.369786399611</v>
      </c>
      <c r="H9" s="185">
        <v>12454.706381866146</v>
      </c>
      <c r="I9" s="185">
        <v>12279.977105492917</v>
      </c>
      <c r="J9" s="185">
        <v>10708.94</v>
      </c>
      <c r="K9" s="185">
        <v>16514.012763732295</v>
      </c>
      <c r="L9" s="185">
        <v>16451.342763732297</v>
      </c>
      <c r="M9" s="748"/>
      <c r="N9" s="749"/>
      <c r="O9" s="186">
        <v>21.08</v>
      </c>
      <c r="P9" s="731"/>
      <c r="Q9" s="756"/>
      <c r="R9" s="187">
        <v>17.71</v>
      </c>
      <c r="S9" s="131">
        <v>30.32</v>
      </c>
      <c r="T9" s="137" t="s">
        <v>599</v>
      </c>
      <c r="U9" s="745"/>
      <c r="V9" s="137" t="s">
        <v>598</v>
      </c>
      <c r="W9" s="187">
        <v>0.16</v>
      </c>
      <c r="X9" s="188">
        <v>11.24</v>
      </c>
      <c r="Y9" s="744"/>
      <c r="Z9" s="133"/>
      <c r="AA9" s="132"/>
      <c r="AB9" s="737"/>
      <c r="AC9" s="781"/>
      <c r="AD9" s="783"/>
      <c r="AE9" s="773"/>
    </row>
    <row r="10" spans="1:31" ht="12">
      <c r="A10" s="735" t="s">
        <v>406</v>
      </c>
      <c r="B10" s="724" t="s">
        <v>407</v>
      </c>
      <c r="C10" s="786" t="s">
        <v>646</v>
      </c>
      <c r="D10" s="786" t="s">
        <v>646</v>
      </c>
      <c r="E10" s="786" t="s">
        <v>646</v>
      </c>
      <c r="F10" s="786" t="s">
        <v>646</v>
      </c>
      <c r="G10" s="786" t="s">
        <v>646</v>
      </c>
      <c r="H10" s="786" t="s">
        <v>646</v>
      </c>
      <c r="I10" s="786" t="s">
        <v>646</v>
      </c>
      <c r="J10" s="786" t="s">
        <v>646</v>
      </c>
      <c r="K10" s="786" t="s">
        <v>646</v>
      </c>
      <c r="L10" s="786" t="s">
        <v>646</v>
      </c>
      <c r="M10" s="788"/>
      <c r="N10" s="720" t="s">
        <v>408</v>
      </c>
      <c r="O10" s="706" t="s">
        <v>408</v>
      </c>
      <c r="P10" s="718" t="s">
        <v>408</v>
      </c>
      <c r="Q10" s="712" t="s">
        <v>408</v>
      </c>
      <c r="R10" s="706" t="s">
        <v>408</v>
      </c>
      <c r="S10" s="706" t="s">
        <v>408</v>
      </c>
      <c r="T10" s="706" t="s">
        <v>408</v>
      </c>
      <c r="U10" s="708" t="s">
        <v>408</v>
      </c>
      <c r="V10" s="706" t="s">
        <v>408</v>
      </c>
      <c r="W10" s="706" t="s">
        <v>408</v>
      </c>
      <c r="X10" s="706" t="s">
        <v>408</v>
      </c>
      <c r="Y10" s="704" t="s">
        <v>408</v>
      </c>
      <c r="Z10" s="706" t="s">
        <v>408</v>
      </c>
      <c r="AA10" s="706" t="s">
        <v>408</v>
      </c>
      <c r="AB10" s="698" t="s">
        <v>408</v>
      </c>
      <c r="AC10" s="700" t="s">
        <v>408</v>
      </c>
      <c r="AD10" s="702" t="s">
        <v>408</v>
      </c>
      <c r="AE10" s="773"/>
    </row>
    <row r="11" spans="1:31" ht="12">
      <c r="A11" s="736"/>
      <c r="B11" s="725"/>
      <c r="C11" s="787"/>
      <c r="D11" s="787"/>
      <c r="E11" s="787"/>
      <c r="F11" s="787"/>
      <c r="G11" s="787"/>
      <c r="H11" s="787"/>
      <c r="I11" s="787"/>
      <c r="J11" s="787"/>
      <c r="K11" s="787"/>
      <c r="L11" s="787"/>
      <c r="M11" s="707"/>
      <c r="N11" s="721"/>
      <c r="O11" s="707"/>
      <c r="P11" s="719"/>
      <c r="Q11" s="713"/>
      <c r="R11" s="707"/>
      <c r="S11" s="707"/>
      <c r="T11" s="707"/>
      <c r="U11" s="709"/>
      <c r="V11" s="707"/>
      <c r="W11" s="707"/>
      <c r="X11" s="707"/>
      <c r="Y11" s="705"/>
      <c r="Z11" s="707"/>
      <c r="AA11" s="707"/>
      <c r="AB11" s="699"/>
      <c r="AC11" s="701"/>
      <c r="AD11" s="703"/>
      <c r="AE11" s="773"/>
    </row>
    <row r="12" spans="31:105" ht="12">
      <c r="AE12" s="189"/>
      <c r="CO12" s="190"/>
      <c r="CP12" s="144" t="s">
        <v>608</v>
      </c>
      <c r="CQ12" s="144" t="s">
        <v>609</v>
      </c>
      <c r="CR12" s="145" t="s">
        <v>647</v>
      </c>
      <c r="CS12" s="146" t="s">
        <v>648</v>
      </c>
      <c r="CT12" s="149" t="s">
        <v>614</v>
      </c>
      <c r="CU12" s="151" t="s">
        <v>616</v>
      </c>
      <c r="CV12" s="152" t="s">
        <v>617</v>
      </c>
      <c r="CW12" s="153" t="s">
        <v>618</v>
      </c>
      <c r="CX12" s="154" t="s">
        <v>619</v>
      </c>
      <c r="CY12" s="144" t="s">
        <v>620</v>
      </c>
      <c r="CZ12" s="144" t="s">
        <v>621</v>
      </c>
      <c r="DA12" s="144" t="s">
        <v>622</v>
      </c>
    </row>
    <row r="13" spans="1:106" ht="12">
      <c r="A13" s="128" t="s">
        <v>524</v>
      </c>
      <c r="B13" s="128">
        <v>7005</v>
      </c>
      <c r="C13" s="172">
        <v>19</v>
      </c>
      <c r="D13" s="172">
        <v>49</v>
      </c>
      <c r="E13" s="172">
        <v>4</v>
      </c>
      <c r="F13" s="172">
        <v>7</v>
      </c>
      <c r="G13" s="172">
        <v>0</v>
      </c>
      <c r="H13" s="172">
        <v>0</v>
      </c>
      <c r="I13" s="172">
        <v>1</v>
      </c>
      <c r="J13" s="172">
        <v>3</v>
      </c>
      <c r="K13" s="172">
        <v>3</v>
      </c>
      <c r="L13" s="172">
        <v>8</v>
      </c>
      <c r="M13" s="156">
        <f>SUM(C13:L13)</f>
        <v>94</v>
      </c>
      <c r="N13" s="156">
        <f>IF(ISERROR($C$9*C13),0,$C$9*C13)+IF(ISERROR($D$9*D13),0,$D$9*D13)+IF(ISERROR($E$9*E13),0,$E$9*E13)+IF(ISERROR($F$9*F13),0,$F$9*F13)+IF(ISERROR($G$9*G13),0,$G$9*G13)+IF(ISERROR($H$9*H13),0,$H$9*H13)+IF(ISERROR($I$9*I13),0,$I$9*I13)+IF(ISERROR($J$9*J13),0,$J$9*J13)+IF(ISERROR($K$9*K13),0,$K$9*K13)+IF(ISERROR($L$9*L13),0,$L$9*L13)+IF(ISERROR(#REF!*#REF!),0,#REF!*#REF!)+IF(ISERROR(#REF!*#REF!),0,#REF!*#REF!)+IF(ISERROR(#REF!*#REF!),0,#REF!*#REF!)+IF(ISERROR(#REF!*#REF!),0,#REF!*#REF!)+IF(ISERROR(#REF!*#REF!),0,#REF!*#REF!)+IF(ISERROR(#REF!*#REF!),0,#REF!*#REF!)</f>
        <v>758678.9742109859</v>
      </c>
      <c r="O13" s="156">
        <v>1011</v>
      </c>
      <c r="P13" s="156">
        <f>SUM(O13:O13)</f>
        <v>1011</v>
      </c>
      <c r="Q13" s="156">
        <v>0</v>
      </c>
      <c r="R13" s="156">
        <v>31665</v>
      </c>
      <c r="S13" s="156">
        <v>4882</v>
      </c>
      <c r="T13" s="156">
        <v>709</v>
      </c>
      <c r="U13" s="156">
        <f>SUM(R13:T13)</f>
        <v>37256</v>
      </c>
      <c r="V13" s="156">
        <v>131686</v>
      </c>
      <c r="W13" s="156">
        <v>576</v>
      </c>
      <c r="X13" s="156">
        <v>0</v>
      </c>
      <c r="Y13" s="156">
        <f>SUM(V13:X13)</f>
        <v>132262</v>
      </c>
      <c r="Z13" s="156">
        <v>0</v>
      </c>
      <c r="AA13" s="156">
        <v>0</v>
      </c>
      <c r="AB13" s="156">
        <f>SUM(Z13:AA13)</f>
        <v>0</v>
      </c>
      <c r="AC13" s="156">
        <v>0</v>
      </c>
      <c r="AD13" s="156">
        <f>IF(ISERROR(SUM(N13,P13,Q13,U13,Y13,AB13,AC13)),0,SUM(N13,P13,Q13,U13,Y13,AB13,AC13))</f>
        <v>929207.9742109859</v>
      </c>
      <c r="AE13" s="191"/>
      <c r="CO13" s="175"/>
      <c r="CP13" s="126" t="s">
        <v>33</v>
      </c>
      <c r="CQ13" s="126" t="s">
        <v>33</v>
      </c>
      <c r="CR13" s="126" t="s">
        <v>33</v>
      </c>
      <c r="CS13" s="126" t="s">
        <v>33</v>
      </c>
      <c r="CT13" s="126" t="s">
        <v>33</v>
      </c>
      <c r="CU13" s="126" t="s">
        <v>33</v>
      </c>
      <c r="CV13" s="126" t="s">
        <v>33</v>
      </c>
      <c r="CW13" s="126" t="s">
        <v>33</v>
      </c>
      <c r="CX13" s="126" t="s">
        <v>33</v>
      </c>
      <c r="CY13" s="126" t="s">
        <v>33</v>
      </c>
      <c r="CZ13" s="175"/>
      <c r="DA13" s="126" t="s">
        <v>33</v>
      </c>
      <c r="DB13" s="122">
        <f>IF(LEN(TRIM(CP13&amp;CQ13&amp;CR13&amp;CS13&amp;CT13&amp;CU13&amp;CV13&amp;CW13&amp;CX13&amp;CY13&amp;CZ13&amp;DA13))&gt;0,1,0)</f>
        <v>0</v>
      </c>
    </row>
    <row r="14" spans="1:106" ht="12">
      <c r="A14" s="128" t="s">
        <v>525</v>
      </c>
      <c r="B14" s="128">
        <v>7001</v>
      </c>
      <c r="C14" s="172">
        <v>10</v>
      </c>
      <c r="D14" s="172">
        <v>35</v>
      </c>
      <c r="E14" s="172">
        <v>10</v>
      </c>
      <c r="F14" s="172">
        <v>22</v>
      </c>
      <c r="G14" s="172">
        <v>0</v>
      </c>
      <c r="H14" s="172">
        <v>0</v>
      </c>
      <c r="I14" s="172">
        <v>11</v>
      </c>
      <c r="J14" s="172">
        <v>12</v>
      </c>
      <c r="K14" s="172">
        <v>0</v>
      </c>
      <c r="L14" s="172">
        <v>0</v>
      </c>
      <c r="M14" s="156">
        <f>SUM(C14:L14)</f>
        <v>100</v>
      </c>
      <c r="N14" s="156">
        <f>IF(ISERROR($C$9*C14),0,$C$9*C14)+IF(ISERROR($D$9*D14),0,$D$9*D14)+IF(ISERROR($E$9*E14),0,$E$9*E14)+IF(ISERROR($F$9*F14),0,$F$9*F14)+IF(ISERROR($G$9*G14),0,$G$9*G14)+IF(ISERROR($H$9*H14),0,$H$9*H14)+IF(ISERROR($I$9*I14),0,$I$9*I14)+IF(ISERROR($J$9*J14),0,$J$9*J14)+IF(ISERROR($K$9*K14),0,$K$9*K14)+IF(ISERROR($L$9*L14),0,$L$9*L14)+IF(ISERROR(#REF!*#REF!),0,#REF!*#REF!)+IF(ISERROR(#REF!*#REF!),0,#REF!*#REF!)+IF(ISERROR(#REF!*#REF!),0,#REF!*#REF!)+IF(ISERROR(#REF!*#REF!),0,#REF!*#REF!)+IF(ISERROR(#REF!*#REF!),0,#REF!*#REF!)+IF(ISERROR(#REF!*#REF!),0,#REF!*#REF!)</f>
        <v>834608.7217436795</v>
      </c>
      <c r="O14" s="156">
        <v>232</v>
      </c>
      <c r="P14" s="156">
        <f>SUM(O14:O14)</f>
        <v>232</v>
      </c>
      <c r="Q14" s="156">
        <v>0</v>
      </c>
      <c r="R14" s="156">
        <v>31843</v>
      </c>
      <c r="S14" s="156">
        <v>6103</v>
      </c>
      <c r="T14" s="156">
        <v>581</v>
      </c>
      <c r="U14" s="156">
        <f>SUM(R14:T14)</f>
        <v>38527</v>
      </c>
      <c r="V14" s="156">
        <v>131686</v>
      </c>
      <c r="W14" s="156">
        <v>1280</v>
      </c>
      <c r="X14" s="156">
        <v>0</v>
      </c>
      <c r="Y14" s="156">
        <f>SUM(V14:X14)</f>
        <v>132966</v>
      </c>
      <c r="Z14" s="156">
        <v>0</v>
      </c>
      <c r="AA14" s="156">
        <v>0</v>
      </c>
      <c r="AB14" s="156">
        <f>SUM(Z14:AA14)</f>
        <v>0</v>
      </c>
      <c r="AC14" s="156">
        <v>20317</v>
      </c>
      <c r="AD14" s="156">
        <f>IF(ISERROR(SUM(N14,P14,Q14,U14,Y14,AB14,AC14)),0,SUM(N14,P14,Q14,U14,Y14,AB14,AC14))</f>
        <v>1026650.7217436795</v>
      </c>
      <c r="AE14" s="189"/>
      <c r="CO14" s="175"/>
      <c r="CP14" s="126" t="s">
        <v>33</v>
      </c>
      <c r="CQ14" s="126" t="s">
        <v>33</v>
      </c>
      <c r="CR14" s="126" t="s">
        <v>33</v>
      </c>
      <c r="CS14" s="126" t="s">
        <v>33</v>
      </c>
      <c r="CT14" s="126" t="s">
        <v>33</v>
      </c>
      <c r="CU14" s="126" t="s">
        <v>33</v>
      </c>
      <c r="CV14" s="126" t="s">
        <v>33</v>
      </c>
      <c r="CW14" s="126" t="s">
        <v>33</v>
      </c>
      <c r="CX14" s="126" t="s">
        <v>33</v>
      </c>
      <c r="CY14" s="126" t="s">
        <v>33</v>
      </c>
      <c r="CZ14" s="175"/>
      <c r="DA14" s="126" t="s">
        <v>33</v>
      </c>
      <c r="DB14" s="122">
        <f>IF(LEN(TRIM(CP14&amp;CQ14&amp;CR14&amp;CS14&amp;CT14&amp;CU14&amp;CV14&amp;CW14&amp;CX14&amp;CY14&amp;CZ14&amp;DA14))&gt;0,1,0)</f>
        <v>0</v>
      </c>
    </row>
    <row r="15" spans="1:106" ht="12">
      <c r="A15" s="128" t="s">
        <v>526</v>
      </c>
      <c r="B15" s="128">
        <v>7009</v>
      </c>
      <c r="C15" s="172">
        <v>0</v>
      </c>
      <c r="D15" s="172">
        <v>0</v>
      </c>
      <c r="E15" s="172">
        <v>0</v>
      </c>
      <c r="F15" s="172">
        <v>0</v>
      </c>
      <c r="G15" s="172">
        <v>40</v>
      </c>
      <c r="H15" s="172">
        <v>0</v>
      </c>
      <c r="I15" s="172">
        <v>0</v>
      </c>
      <c r="J15" s="172">
        <v>0</v>
      </c>
      <c r="K15" s="172">
        <v>0</v>
      </c>
      <c r="L15" s="172">
        <v>0</v>
      </c>
      <c r="M15" s="156">
        <f>SUM(C15:L15)</f>
        <v>40</v>
      </c>
      <c r="N15" s="156">
        <f>IF(ISERROR($C$9*C15),0,$C$9*C15)+IF(ISERROR($D$9*D15),0,$D$9*D15)+IF(ISERROR($E$9*E15),0,$E$9*E15)+IF(ISERROR($F$9*F15),0,$F$9*F15)+IF(ISERROR($G$9*G15),0,$G$9*G15)+IF(ISERROR($H$9*H15),0,$H$9*H15)+IF(ISERROR($I$9*I15),0,$I$9*I15)+IF(ISERROR($J$9*J15),0,$J$9*J15)+IF(ISERROR($K$9*K15),0,$K$9*K15)+IF(ISERROR($L$9*L15),0,$L$9*L15)+IF(ISERROR(#REF!*#REF!),0,#REF!*#REF!)+IF(ISERROR(#REF!*#REF!),0,#REF!*#REF!)+IF(ISERROR(#REF!*#REF!),0,#REF!*#REF!)+IF(ISERROR(#REF!*#REF!),0,#REF!*#REF!)+IF(ISERROR(#REF!*#REF!),0,#REF!*#REF!)+IF(ISERROR(#REF!*#REF!),0,#REF!*#REF!)</f>
        <v>545254.7914559845</v>
      </c>
      <c r="O15" s="156">
        <v>337</v>
      </c>
      <c r="P15" s="156">
        <f>SUM(O15:O15)</f>
        <v>337</v>
      </c>
      <c r="Q15" s="156">
        <v>0</v>
      </c>
      <c r="R15" s="156">
        <v>23412</v>
      </c>
      <c r="S15" s="156">
        <v>2837</v>
      </c>
      <c r="T15" s="156">
        <v>1042</v>
      </c>
      <c r="U15" s="156">
        <f>SUM(R15:T15)</f>
        <v>27291</v>
      </c>
      <c r="V15" s="156">
        <v>123707</v>
      </c>
      <c r="W15" s="156">
        <v>256</v>
      </c>
      <c r="X15" s="156">
        <v>0</v>
      </c>
      <c r="Y15" s="156">
        <f>SUM(V15:X15)</f>
        <v>123963</v>
      </c>
      <c r="Z15" s="156">
        <v>0</v>
      </c>
      <c r="AA15" s="156">
        <v>0</v>
      </c>
      <c r="AB15" s="156">
        <f>SUM(Z15:AA15)</f>
        <v>0</v>
      </c>
      <c r="AC15" s="156">
        <v>0</v>
      </c>
      <c r="AD15" s="156">
        <f>IF(ISERROR(SUM(N15,P15,Q15,U15,Y15,AB15,AC15)),0,SUM(N15,P15,Q15,U15,Y15,AB15,AC15))</f>
        <v>696845.7914559845</v>
      </c>
      <c r="AE15" s="189"/>
      <c r="CO15" s="175"/>
      <c r="CP15" s="126" t="s">
        <v>33</v>
      </c>
      <c r="CQ15" s="126" t="s">
        <v>33</v>
      </c>
      <c r="CR15" s="126" t="s">
        <v>33</v>
      </c>
      <c r="CS15" s="126" t="s">
        <v>33</v>
      </c>
      <c r="CT15" s="126" t="s">
        <v>33</v>
      </c>
      <c r="CU15" s="126" t="s">
        <v>33</v>
      </c>
      <c r="CV15" s="126" t="s">
        <v>33</v>
      </c>
      <c r="CW15" s="126" t="s">
        <v>33</v>
      </c>
      <c r="CX15" s="126" t="s">
        <v>33</v>
      </c>
      <c r="CY15" s="126" t="s">
        <v>33</v>
      </c>
      <c r="CZ15" s="175"/>
      <c r="DA15" s="126" t="s">
        <v>33</v>
      </c>
      <c r="DB15" s="122">
        <f>IF(LEN(TRIM(CP15&amp;CQ15&amp;CR15&amp;CS15&amp;CT15&amp;CU15&amp;CV15&amp;CW15&amp;CX15&amp;CY15&amp;CZ15&amp;DA15))&gt;0,1,0)</f>
        <v>0</v>
      </c>
    </row>
    <row r="16" spans="1:106" ht="12">
      <c r="A16" s="128" t="s">
        <v>527</v>
      </c>
      <c r="B16" s="128">
        <v>7007</v>
      </c>
      <c r="C16" s="172">
        <v>0</v>
      </c>
      <c r="D16" s="172">
        <v>0</v>
      </c>
      <c r="E16" s="172">
        <v>8</v>
      </c>
      <c r="F16" s="172">
        <v>19</v>
      </c>
      <c r="G16" s="172">
        <v>0</v>
      </c>
      <c r="H16" s="172">
        <v>0</v>
      </c>
      <c r="I16" s="172">
        <v>11</v>
      </c>
      <c r="J16" s="172">
        <v>7</v>
      </c>
      <c r="K16" s="172">
        <v>13</v>
      </c>
      <c r="L16" s="172">
        <v>12</v>
      </c>
      <c r="M16" s="156">
        <f>SUM(C16:L16)</f>
        <v>70</v>
      </c>
      <c r="N16" s="156">
        <f>IF(ISERROR($C$9*C16),0,$C$9*C16)+IF(ISERROR($D$9*D16),0,$D$9*D16)+IF(ISERROR($E$9*E16),0,$E$9*E16)+IF(ISERROR($F$9*F16),0,$F$9*F16)+IF(ISERROR($G$9*G16),0,$G$9*G16)+IF(ISERROR($H$9*H16),0,$H$9*H16)+IF(ISERROR($I$9*I16),0,$I$9*I16)+IF(ISERROR($J$9*J16),0,$J$9*J16)+IF(ISERROR($K$9*K16),0,$K$9*K16)+IF(ISERROR($L$9*L16),0,$L$9*L16)+IF(ISERROR(#REF!*#REF!),0,#REF!*#REF!)+IF(ISERROR(#REF!*#REF!),0,#REF!*#REF!)+IF(ISERROR(#REF!*#REF!),0,#REF!*#REF!)+IF(ISERROR(#REF!*#REF!),0,#REF!*#REF!)+IF(ISERROR(#REF!*#REF!),0,#REF!*#REF!)+IF(ISERROR(#REF!*#REF!),0,#REF!*#REF!)</f>
        <v>863180.7929468452</v>
      </c>
      <c r="O16" s="156">
        <v>442</v>
      </c>
      <c r="P16" s="156">
        <f>SUM(O16:O16)</f>
        <v>442</v>
      </c>
      <c r="Q16" s="156">
        <v>0</v>
      </c>
      <c r="R16" s="156">
        <v>27770</v>
      </c>
      <c r="S16" s="156">
        <v>1661</v>
      </c>
      <c r="T16" s="156">
        <v>802</v>
      </c>
      <c r="U16" s="156">
        <f>SUM(R16:T16)</f>
        <v>30233</v>
      </c>
      <c r="V16" s="156">
        <v>127839</v>
      </c>
      <c r="W16" s="156">
        <v>752</v>
      </c>
      <c r="X16" s="156">
        <v>0</v>
      </c>
      <c r="Y16" s="156">
        <f>SUM(V16:X16)</f>
        <v>128591</v>
      </c>
      <c r="Z16" s="156">
        <v>0</v>
      </c>
      <c r="AA16" s="156">
        <v>0</v>
      </c>
      <c r="AB16" s="156">
        <f>SUM(Z16:AA16)</f>
        <v>0</v>
      </c>
      <c r="AC16" s="156">
        <v>0</v>
      </c>
      <c r="AD16" s="156">
        <f>IF(ISERROR(SUM(N16,P16,Q16,U16,Y16,AB16,AC16)),0,SUM(N16,P16,Q16,U16,Y16,AB16,AC16))</f>
        <v>1022446.7929468452</v>
      </c>
      <c r="AE16" s="189"/>
      <c r="CO16" s="175"/>
      <c r="CP16" s="126" t="s">
        <v>33</v>
      </c>
      <c r="CQ16" s="126" t="s">
        <v>33</v>
      </c>
      <c r="CR16" s="126" t="s">
        <v>33</v>
      </c>
      <c r="CS16" s="126" t="s">
        <v>33</v>
      </c>
      <c r="CT16" s="126" t="s">
        <v>33</v>
      </c>
      <c r="CU16" s="126" t="s">
        <v>33</v>
      </c>
      <c r="CV16" s="126" t="s">
        <v>33</v>
      </c>
      <c r="CW16" s="126" t="s">
        <v>33</v>
      </c>
      <c r="CX16" s="126" t="s">
        <v>33</v>
      </c>
      <c r="CY16" s="126" t="s">
        <v>33</v>
      </c>
      <c r="CZ16" s="175"/>
      <c r="DA16" s="126" t="s">
        <v>33</v>
      </c>
      <c r="DB16" s="122">
        <f>IF(LEN(TRIM(CP16&amp;CQ16&amp;CR16&amp;CS16&amp;CT16&amp;CU16&amp;CV16&amp;CW16&amp;CX16&amp;CY16&amp;CZ16&amp;DA16))&gt;0,1,0)</f>
        <v>0</v>
      </c>
    </row>
    <row r="17" spans="1:106" ht="12">
      <c r="A17" s="128" t="s">
        <v>528</v>
      </c>
      <c r="B17" s="128">
        <v>7002</v>
      </c>
      <c r="C17" s="172">
        <v>0</v>
      </c>
      <c r="D17" s="172">
        <v>0</v>
      </c>
      <c r="E17" s="172">
        <v>12</v>
      </c>
      <c r="F17" s="172">
        <v>35</v>
      </c>
      <c r="G17" s="172">
        <v>0</v>
      </c>
      <c r="H17" s="172">
        <v>0</v>
      </c>
      <c r="I17" s="172">
        <v>15</v>
      </c>
      <c r="J17" s="172">
        <v>10</v>
      </c>
      <c r="K17" s="172">
        <v>11</v>
      </c>
      <c r="L17" s="172">
        <v>13</v>
      </c>
      <c r="M17" s="156">
        <f>SUM(C17:L17)</f>
        <v>96</v>
      </c>
      <c r="N17" s="156">
        <f>IF(ISERROR($C$9*C17),0,$C$9*C17)+IF(ISERROR($D$9*D17),0,$D$9*D17)+IF(ISERROR($E$9*E17),0,$E$9*E17)+IF(ISERROR($F$9*F17),0,$F$9*F17)+IF(ISERROR($G$9*G17),0,$G$9*G17)+IF(ISERROR($H$9*H17),0,$H$9*H17)+IF(ISERROR($I$9*I17),0,$I$9*I17)+IF(ISERROR($J$9*J17),0,$J$9*J17)+IF(ISERROR($K$9*K17),0,$K$9*K17)+IF(ISERROR($L$9*L17),0,$L$9*L17)+IF(ISERROR(#REF!*#REF!),0,#REF!*#REF!)+IF(ISERROR(#REF!*#REF!),0,#REF!*#REF!)+IF(ISERROR(#REF!*#REF!),0,#REF!*#REF!)+IF(ISERROR(#REF!*#REF!),0,#REF!*#REF!)+IF(ISERROR(#REF!*#REF!),0,#REF!*#REF!)+IF(ISERROR(#REF!*#REF!),0,#REF!*#REF!)</f>
        <v>1106284.9168962813</v>
      </c>
      <c r="O17" s="156">
        <v>126</v>
      </c>
      <c r="P17" s="156">
        <f>SUM(O17:O17)</f>
        <v>126</v>
      </c>
      <c r="Q17" s="156">
        <v>0</v>
      </c>
      <c r="R17" s="156">
        <v>51855</v>
      </c>
      <c r="S17" s="156">
        <v>4659</v>
      </c>
      <c r="T17" s="156">
        <v>0</v>
      </c>
      <c r="U17" s="156">
        <f>SUM(R17:T17)</f>
        <v>56514</v>
      </c>
      <c r="V17" s="156">
        <v>127839</v>
      </c>
      <c r="W17" s="156">
        <v>1552</v>
      </c>
      <c r="X17" s="156">
        <v>0</v>
      </c>
      <c r="Y17" s="156">
        <f>SUM(V17:X17)</f>
        <v>129391</v>
      </c>
      <c r="Z17" s="156">
        <v>0</v>
      </c>
      <c r="AA17" s="156">
        <v>0</v>
      </c>
      <c r="AB17" s="156">
        <f>SUM(Z17:AA17)</f>
        <v>0</v>
      </c>
      <c r="AC17" s="156">
        <v>0</v>
      </c>
      <c r="AD17" s="156">
        <f>IF(ISERROR(SUM(N17,P17,Q17,U17,Y17,AB17,AC17)),0,SUM(N17,P17,Q17,U17,Y17,AB17,AC17))</f>
        <v>1292315.9168962813</v>
      </c>
      <c r="AE17" s="189"/>
      <c r="CO17" s="175"/>
      <c r="CP17" s="126" t="s">
        <v>33</v>
      </c>
      <c r="CQ17" s="126" t="s">
        <v>33</v>
      </c>
      <c r="CR17" s="126" t="s">
        <v>33</v>
      </c>
      <c r="CS17" s="126" t="s">
        <v>33</v>
      </c>
      <c r="CT17" s="126" t="s">
        <v>33</v>
      </c>
      <c r="CU17" s="126" t="s">
        <v>33</v>
      </c>
      <c r="CV17" s="126" t="s">
        <v>33</v>
      </c>
      <c r="CW17" s="126" t="s">
        <v>33</v>
      </c>
      <c r="CX17" s="126" t="s">
        <v>33</v>
      </c>
      <c r="CY17" s="126" t="s">
        <v>33</v>
      </c>
      <c r="CZ17" s="175"/>
      <c r="DA17" s="126" t="s">
        <v>33</v>
      </c>
      <c r="DB17" s="122">
        <f>IF(LEN(TRIM(CP17&amp;CQ17&amp;CR17&amp;CS17&amp;CT17&amp;CU17&amp;CV17&amp;CW17&amp;CX17&amp;CY17&amp;CZ17&amp;DA17))&gt;0,1,0)</f>
        <v>0</v>
      </c>
    </row>
    <row r="18" ht="12.75" thickBot="1"/>
    <row r="19" spans="1:106" ht="13.5" thickBot="1" thickTop="1">
      <c r="A19" s="784" t="s">
        <v>649</v>
      </c>
      <c r="B19" s="785"/>
      <c r="C19" s="164">
        <f>SUM(C13:C18)</f>
        <v>29</v>
      </c>
      <c r="D19" s="164">
        <f aca="true" t="shared" si="0" ref="D19:AD19">SUM(D13:D18)</f>
        <v>84</v>
      </c>
      <c r="E19" s="164">
        <f t="shared" si="0"/>
        <v>34</v>
      </c>
      <c r="F19" s="164">
        <f t="shared" si="0"/>
        <v>83</v>
      </c>
      <c r="G19" s="164">
        <f t="shared" si="0"/>
        <v>40</v>
      </c>
      <c r="H19" s="164">
        <f t="shared" si="0"/>
        <v>0</v>
      </c>
      <c r="I19" s="164">
        <f t="shared" si="0"/>
        <v>38</v>
      </c>
      <c r="J19" s="164">
        <f t="shared" si="0"/>
        <v>32</v>
      </c>
      <c r="K19" s="164">
        <f t="shared" si="0"/>
        <v>27</v>
      </c>
      <c r="L19" s="164">
        <f t="shared" si="0"/>
        <v>33</v>
      </c>
      <c r="M19" s="164">
        <f t="shared" si="0"/>
        <v>400</v>
      </c>
      <c r="N19" s="164">
        <f t="shared" si="0"/>
        <v>4108008.1972537767</v>
      </c>
      <c r="O19" s="164">
        <f t="shared" si="0"/>
        <v>2148</v>
      </c>
      <c r="P19" s="164">
        <f t="shared" si="0"/>
        <v>2148</v>
      </c>
      <c r="Q19" s="164">
        <f t="shared" si="0"/>
        <v>0</v>
      </c>
      <c r="R19" s="164">
        <f t="shared" si="0"/>
        <v>166545</v>
      </c>
      <c r="S19" s="164">
        <f t="shared" si="0"/>
        <v>20142</v>
      </c>
      <c r="T19" s="164">
        <f t="shared" si="0"/>
        <v>3134</v>
      </c>
      <c r="U19" s="164">
        <f t="shared" si="0"/>
        <v>189821</v>
      </c>
      <c r="V19" s="164">
        <f t="shared" si="0"/>
        <v>642757</v>
      </c>
      <c r="W19" s="164">
        <f t="shared" si="0"/>
        <v>4416</v>
      </c>
      <c r="X19" s="164">
        <f t="shared" si="0"/>
        <v>0</v>
      </c>
      <c r="Y19" s="164">
        <f t="shared" si="0"/>
        <v>647173</v>
      </c>
      <c r="Z19" s="164">
        <f t="shared" si="0"/>
        <v>0</v>
      </c>
      <c r="AA19" s="164">
        <f t="shared" si="0"/>
        <v>0</v>
      </c>
      <c r="AB19" s="164">
        <f t="shared" si="0"/>
        <v>0</v>
      </c>
      <c r="AC19" s="164">
        <f t="shared" si="0"/>
        <v>20317</v>
      </c>
      <c r="AD19" s="164">
        <f t="shared" si="0"/>
        <v>4967467.197253777</v>
      </c>
      <c r="CP19" t="str">
        <f>A19</f>
        <v>Special Total</v>
      </c>
      <c r="CR19" s="169">
        <v>4108008.1972537762</v>
      </c>
      <c r="CS19" s="169">
        <v>2148</v>
      </c>
      <c r="CT19" s="169">
        <v>0</v>
      </c>
      <c r="CU19" s="169">
        <v>189821</v>
      </c>
      <c r="CV19" s="169">
        <v>647173</v>
      </c>
      <c r="CW19" s="169">
        <v>0</v>
      </c>
      <c r="CX19" s="169">
        <v>20317</v>
      </c>
      <c r="CY19" s="169">
        <v>4967467.197253777</v>
      </c>
      <c r="CZ19" s="133"/>
      <c r="DA19" s="169">
        <v>400</v>
      </c>
      <c r="DB19" s="122">
        <f>IF(OR(LEFT(CR19,1)="E",LEFT(CS19,1)="E",LEFT(CT19,1)="E",LEFT(CU19,1)="E",LEFT(CV19,1)="E",LEFT(CW19,1)="E",LEFT(CX19,1)="E",LEFT(CY19,1)="E",LEFT(CZ19,1)="E",LEFT(DA19,1)="E"),1,0)</f>
        <v>0</v>
      </c>
    </row>
    <row r="20" ht="12.75" thickTop="1">
      <c r="N20" s="174"/>
    </row>
  </sheetData>
  <mergeCells count="77">
    <mergeCell ref="M1:M2"/>
    <mergeCell ref="N1:N2"/>
    <mergeCell ref="P1:P2"/>
    <mergeCell ref="AC1:AC2"/>
    <mergeCell ref="AD1:AD2"/>
    <mergeCell ref="AE1:AE11"/>
    <mergeCell ref="Q1:Q2"/>
    <mergeCell ref="U1:U2"/>
    <mergeCell ref="Y1:Y2"/>
    <mergeCell ref="AB1:AB2"/>
    <mergeCell ref="Y4:Y9"/>
    <mergeCell ref="Z4:Z8"/>
    <mergeCell ref="AA4:AA8"/>
    <mergeCell ref="AD3:AD9"/>
    <mergeCell ref="A3:B3"/>
    <mergeCell ref="C3:N3"/>
    <mergeCell ref="O3:P3"/>
    <mergeCell ref="Q3:Q9"/>
    <mergeCell ref="K4:K8"/>
    <mergeCell ref="L4:L8"/>
    <mergeCell ref="M4:M9"/>
    <mergeCell ref="N4:N9"/>
    <mergeCell ref="O4:O8"/>
    <mergeCell ref="P4:P9"/>
    <mergeCell ref="J4:J8"/>
    <mergeCell ref="R3:U3"/>
    <mergeCell ref="V3:Y3"/>
    <mergeCell ref="Z3:AB3"/>
    <mergeCell ref="R4:R8"/>
    <mergeCell ref="S4:S8"/>
    <mergeCell ref="T4:T8"/>
    <mergeCell ref="U4:U9"/>
    <mergeCell ref="V4:V8"/>
    <mergeCell ref="W4:W8"/>
    <mergeCell ref="F4:F8"/>
    <mergeCell ref="G4:G8"/>
    <mergeCell ref="H4:H8"/>
    <mergeCell ref="I4:I8"/>
    <mergeCell ref="A4:B8"/>
    <mergeCell ref="C4:C8"/>
    <mergeCell ref="D4:D8"/>
    <mergeCell ref="E4:E8"/>
    <mergeCell ref="AC3:AC9"/>
    <mergeCell ref="AB4:AB9"/>
    <mergeCell ref="A9:B9"/>
    <mergeCell ref="A10:A11"/>
    <mergeCell ref="B10:B11"/>
    <mergeCell ref="C10:C11"/>
    <mergeCell ref="D10:D11"/>
    <mergeCell ref="E10:E11"/>
    <mergeCell ref="F10:F11"/>
    <mergeCell ref="G10:G11"/>
    <mergeCell ref="X4:X8"/>
    <mergeCell ref="H10:H11"/>
    <mergeCell ref="I10:I11"/>
    <mergeCell ref="J10:J11"/>
    <mergeCell ref="K10:K11"/>
    <mergeCell ref="L10:L11"/>
    <mergeCell ref="M10:M11"/>
    <mergeCell ref="N10:N11"/>
    <mergeCell ref="O10:O11"/>
    <mergeCell ref="V10:V11"/>
    <mergeCell ref="W10:W11"/>
    <mergeCell ref="P10:P11"/>
    <mergeCell ref="Q10:Q11"/>
    <mergeCell ref="R10:R11"/>
    <mergeCell ref="S10:S11"/>
    <mergeCell ref="AB10:AB11"/>
    <mergeCell ref="AC10:AC11"/>
    <mergeCell ref="AD10:AD11"/>
    <mergeCell ref="A19:B19"/>
    <mergeCell ref="X10:X11"/>
    <mergeCell ref="Y10:Y11"/>
    <mergeCell ref="Z10:Z11"/>
    <mergeCell ref="AA10:AA11"/>
    <mergeCell ref="T10:T11"/>
    <mergeCell ref="U10:U11"/>
  </mergeCells>
  <conditionalFormatting sqref="M13:M17">
    <cfRule type="expression" priority="1" dxfId="0" stopIfTrue="1">
      <formula>AND(LEFT(DA13,1)="E",M13="")</formula>
    </cfRule>
    <cfRule type="expression" priority="2" dxfId="1" stopIfTrue="1">
      <formula>LEFT(DA13,1)="E"</formula>
    </cfRule>
    <cfRule type="expression" priority="3" dxfId="2" stopIfTrue="1">
      <formula>LEFT(DA13,1)="W"</formula>
    </cfRule>
  </conditionalFormatting>
  <conditionalFormatting sqref="N13:N17">
    <cfRule type="expression" priority="4" dxfId="0" stopIfTrue="1">
      <formula>AND(LEFT(CR13,1)="E",N13="")</formula>
    </cfRule>
    <cfRule type="expression" priority="5" dxfId="1" stopIfTrue="1">
      <formula>LEFT(CR13,1)="E"</formula>
    </cfRule>
    <cfRule type="expression" priority="6" dxfId="2" stopIfTrue="1">
      <formula>LEFT(CR13,1)="W"</formula>
    </cfRule>
  </conditionalFormatting>
  <conditionalFormatting sqref="P13:Q17">
    <cfRule type="expression" priority="7" dxfId="0" stopIfTrue="1">
      <formula>AND(LEFT(CS13,1)="E",P13="")</formula>
    </cfRule>
    <cfRule type="expression" priority="8" dxfId="1" stopIfTrue="1">
      <formula>LEFT(CS13,1)="E"</formula>
    </cfRule>
    <cfRule type="expression" priority="9" dxfId="2" stopIfTrue="1">
      <formula>LEFT(CS13,1)="W"</formula>
    </cfRule>
  </conditionalFormatting>
  <conditionalFormatting sqref="U13:U17">
    <cfRule type="expression" priority="10" dxfId="0" stopIfTrue="1">
      <formula>AND(LEFT(CU13,1)="E",U13="")</formula>
    </cfRule>
    <cfRule type="expression" priority="11" dxfId="1" stopIfTrue="1">
      <formula>LEFT(CU13,1)="E"</formula>
    </cfRule>
    <cfRule type="expression" priority="12" dxfId="2" stopIfTrue="1">
      <formula>LEFT(CU13,1)="W"</formula>
    </cfRule>
  </conditionalFormatting>
  <conditionalFormatting sqref="Y13:Y17">
    <cfRule type="expression" priority="13" dxfId="0" stopIfTrue="1">
      <formula>AND(LEFT(CV13,1)="E",Y13="")</formula>
    </cfRule>
    <cfRule type="expression" priority="14" dxfId="1" stopIfTrue="1">
      <formula>LEFT(CV13,1)="E"</formula>
    </cfRule>
    <cfRule type="expression" priority="15" dxfId="2" stopIfTrue="1">
      <formula>LEFT(CV13,1)="W"</formula>
    </cfRule>
  </conditionalFormatting>
  <conditionalFormatting sqref="AB13:AD17">
    <cfRule type="expression" priority="16" dxfId="0" stopIfTrue="1">
      <formula>AND(LEFT(CW13,1)="E",AB13="")</formula>
    </cfRule>
    <cfRule type="expression" priority="17" dxfId="1" stopIfTrue="1">
      <formula>LEFT(CW13,1)="E"</formula>
    </cfRule>
    <cfRule type="expression" priority="18" dxfId="2" stopIfTrue="1">
      <formula>LEFT(CW13,1)="W"</formula>
    </cfRule>
  </conditionalFormatting>
  <conditionalFormatting sqref="A13:B17">
    <cfRule type="expression" priority="19" dxfId="1" stopIfTrue="1">
      <formula>LEFT(CP13,1)="E"</formula>
    </cfRule>
    <cfRule type="expression" priority="20" dxfId="2" stopIfTrue="1">
      <formula>LEFT(CP13,1)="W"</formula>
    </cfRule>
  </conditionalFormatting>
  <hyperlinks>
    <hyperlink ref="A10:A11" r:id="rId1" display="(1) School name"/>
    <hyperlink ref="C3:N3" r:id="rId2" display="Place-led funding"/>
    <hyperlink ref="O3:P3" r:id="rId3" display="Pupil-led Funding"/>
    <hyperlink ref="Q3:Q9" r:id="rId4" display="INSTRUCTIONS AND GUIDANCE FOR FINANCIAL REPORTING ON"/>
    <hyperlink ref="R3:U3" r:id="rId5" display="Site-specific factors"/>
    <hyperlink ref="V3:Y3" r:id="rId6" display="School-specific factors"/>
    <hyperlink ref="AD3:AD9" r:id="rId7" display="INSTRUCTIONS AND GUIDANCE FOR FINANCIAL REPORTING ON"/>
    <hyperlink ref="Z3:AB3" r:id="rId8" display="Budget adjustments"/>
  </hyperlinks>
  <printOptions/>
  <pageMargins left="0.17" right="0.16" top="0.5" bottom="1" header="0.26" footer="0.5"/>
  <pageSetup horizontalDpi="600" verticalDpi="600" orientation="landscape" paperSize="9" r:id="rId9"/>
  <colBreaks count="1" manualBreakCount="1">
    <brk id="16" max="18" man="1"/>
  </colBreaks>
</worksheet>
</file>

<file path=xl/worksheets/sheet8.xml><?xml version="1.0" encoding="utf-8"?>
<worksheet xmlns="http://schemas.openxmlformats.org/spreadsheetml/2006/main" xmlns:r="http://schemas.openxmlformats.org/officeDocument/2006/relationships">
  <dimension ref="A1:O378"/>
  <sheetViews>
    <sheetView workbookViewId="0" topLeftCell="A1">
      <selection activeCell="A1" sqref="A1:I1"/>
    </sheetView>
  </sheetViews>
  <sheetFormatPr defaultColWidth="9.140625" defaultRowHeight="12"/>
  <cols>
    <col min="1" max="1" width="7.57421875" style="0" customWidth="1"/>
    <col min="2" max="2" width="10.421875" style="0" customWidth="1"/>
    <col min="3" max="3" width="11.7109375" style="0" customWidth="1"/>
    <col min="4" max="4" width="12.8515625" style="0" customWidth="1"/>
    <col min="5" max="5" width="17.28125" style="0" customWidth="1"/>
    <col min="6" max="6" width="8.57421875" style="0" customWidth="1"/>
    <col min="7" max="7" width="16.421875" style="192" bestFit="1" customWidth="1"/>
    <col min="8" max="8" width="1.7109375" style="0" customWidth="1"/>
    <col min="9" max="9" width="10.421875" style="193" bestFit="1" customWidth="1"/>
    <col min="10" max="10" width="1.7109375" style="0" customWidth="1"/>
    <col min="11" max="11" width="11.28125" style="194" bestFit="1" customWidth="1"/>
    <col min="12" max="12" width="1.7109375" style="0" customWidth="1"/>
    <col min="13" max="13" width="16.421875" style="195" bestFit="1" customWidth="1"/>
    <col min="14" max="14" width="1.7109375" style="0" customWidth="1"/>
    <col min="15" max="15" width="14.8515625" style="192" bestFit="1" customWidth="1"/>
  </cols>
  <sheetData>
    <row r="1" spans="1:15" s="177" customFormat="1" ht="15" customHeight="1" thickBot="1">
      <c r="A1" s="796" t="str">
        <f>+SBST!A1</f>
        <v>SOLIHULL SECTION 52 EDUCATION BUDGET STATEMENT 2006-07 Version 3 Published 3 August 2006</v>
      </c>
      <c r="B1" s="797"/>
      <c r="C1" s="797"/>
      <c r="D1" s="797"/>
      <c r="E1" s="797"/>
      <c r="F1" s="797"/>
      <c r="G1" s="797"/>
      <c r="H1" s="797"/>
      <c r="I1" s="798"/>
      <c r="J1" s="432"/>
      <c r="K1" s="432"/>
      <c r="L1" s="432"/>
      <c r="M1" s="432"/>
      <c r="N1" s="432"/>
      <c r="O1" s="432"/>
    </row>
    <row r="2" spans="1:15" s="177" customFormat="1" ht="13.5" thickBot="1">
      <c r="A2" s="796" t="s">
        <v>650</v>
      </c>
      <c r="B2" s="797"/>
      <c r="C2" s="797"/>
      <c r="D2" s="797"/>
      <c r="E2" s="797"/>
      <c r="F2" s="797"/>
      <c r="G2" s="797"/>
      <c r="H2" s="797"/>
      <c r="I2" s="798"/>
      <c r="K2" s="433"/>
      <c r="M2" s="243"/>
      <c r="O2" s="434"/>
    </row>
    <row r="3" spans="3:11" ht="17.25" customHeight="1" thickBot="1">
      <c r="C3" s="871" t="s">
        <v>651</v>
      </c>
      <c r="D3" s="871"/>
      <c r="E3" s="871"/>
      <c r="F3" s="872"/>
      <c r="G3" s="872"/>
      <c r="H3" s="872"/>
      <c r="I3" s="872"/>
      <c r="J3" s="872"/>
      <c r="K3" s="872"/>
    </row>
    <row r="4" spans="2:15" ht="15.75" customHeight="1" thickBot="1">
      <c r="B4" s="840" t="s">
        <v>652</v>
      </c>
      <c r="C4" s="841"/>
      <c r="D4" s="841"/>
      <c r="E4" s="841"/>
      <c r="F4" s="841"/>
      <c r="G4" s="841"/>
      <c r="H4" s="841"/>
      <c r="I4" s="842"/>
      <c r="J4" s="198"/>
      <c r="K4" s="199"/>
      <c r="L4" s="198"/>
      <c r="O4"/>
    </row>
    <row r="5" spans="2:15" ht="15.75" customHeight="1">
      <c r="B5" s="805" t="s">
        <v>653</v>
      </c>
      <c r="C5" s="806"/>
      <c r="D5" s="806"/>
      <c r="E5" s="806"/>
      <c r="F5" s="806"/>
      <c r="G5" s="806"/>
      <c r="H5" s="806"/>
      <c r="I5" s="806"/>
      <c r="J5" s="807"/>
      <c r="O5"/>
    </row>
    <row r="6" spans="2:13" s="200" customFormat="1" ht="12.75" customHeight="1">
      <c r="B6" s="868" t="s">
        <v>654</v>
      </c>
      <c r="C6" s="869"/>
      <c r="D6" s="869"/>
      <c r="E6" s="869"/>
      <c r="F6" s="869"/>
      <c r="G6" s="869"/>
      <c r="H6" s="869"/>
      <c r="I6" s="869"/>
      <c r="J6" s="870"/>
      <c r="K6" s="194"/>
      <c r="M6" s="201"/>
    </row>
    <row r="7" spans="3:15" ht="12.75" customHeight="1">
      <c r="C7" s="197"/>
      <c r="D7" s="197"/>
      <c r="E7" s="202"/>
      <c r="O7"/>
    </row>
    <row r="8" spans="3:15" ht="45">
      <c r="C8" s="197"/>
      <c r="D8" s="197"/>
      <c r="E8" s="197"/>
      <c r="G8" s="203" t="s">
        <v>655</v>
      </c>
      <c r="I8" s="204" t="s">
        <v>656</v>
      </c>
      <c r="J8" s="205"/>
      <c r="K8" s="206" t="s">
        <v>657</v>
      </c>
      <c r="M8" s="207" t="s">
        <v>658</v>
      </c>
      <c r="N8" s="208"/>
      <c r="O8"/>
    </row>
    <row r="9" spans="3:14" s="180" customFormat="1" ht="12.75" customHeight="1">
      <c r="C9" s="202"/>
      <c r="D9" s="202"/>
      <c r="E9" s="202"/>
      <c r="G9" s="209"/>
      <c r="I9" s="210"/>
      <c r="J9" s="211"/>
      <c r="K9" s="212"/>
      <c r="M9" s="212"/>
      <c r="N9" s="213"/>
    </row>
    <row r="10" spans="2:13" s="214" customFormat="1" ht="12.75" customHeight="1">
      <c r="B10" s="821" t="s">
        <v>659</v>
      </c>
      <c r="C10" s="822"/>
      <c r="D10" s="822"/>
      <c r="E10" s="822"/>
      <c r="F10" s="822"/>
      <c r="G10" s="822"/>
      <c r="H10" s="822"/>
      <c r="I10" s="823"/>
      <c r="K10" s="215"/>
      <c r="M10" s="216"/>
    </row>
    <row r="11" spans="2:13" s="214" customFormat="1" ht="12.75" customHeight="1" thickBot="1">
      <c r="B11" s="217"/>
      <c r="C11" s="217"/>
      <c r="D11" s="217"/>
      <c r="E11" s="217"/>
      <c r="F11" s="217"/>
      <c r="G11" s="217"/>
      <c r="H11" s="217"/>
      <c r="I11" s="217"/>
      <c r="K11" s="215"/>
      <c r="M11" s="216"/>
    </row>
    <row r="12" spans="1:15" ht="12.75" customHeight="1">
      <c r="A12" s="218" t="s">
        <v>660</v>
      </c>
      <c r="B12" s="219" t="s">
        <v>661</v>
      </c>
      <c r="C12" s="220" t="s">
        <v>662</v>
      </c>
      <c r="D12" s="221" t="s">
        <v>663</v>
      </c>
      <c r="E12" s="222"/>
      <c r="F12" s="223"/>
      <c r="G12" s="224" t="s">
        <v>664</v>
      </c>
      <c r="H12" s="225"/>
      <c r="I12" s="226"/>
      <c r="J12" s="223"/>
      <c r="O12"/>
    </row>
    <row r="13" spans="1:15" ht="12.75" customHeight="1">
      <c r="A13" s="227">
        <v>0</v>
      </c>
      <c r="B13" s="228">
        <v>0</v>
      </c>
      <c r="C13" s="229">
        <v>0</v>
      </c>
      <c r="D13" s="230"/>
      <c r="E13" s="231"/>
      <c r="F13" s="232" t="s">
        <v>665</v>
      </c>
      <c r="G13" s="233">
        <f>+A13</f>
        <v>0</v>
      </c>
      <c r="H13" s="234"/>
      <c r="I13" s="235">
        <v>0</v>
      </c>
      <c r="J13" s="223"/>
      <c r="K13" s="216"/>
      <c r="O13"/>
    </row>
    <row r="14" spans="1:15" ht="12.75" customHeight="1">
      <c r="A14" s="227">
        <v>10</v>
      </c>
      <c r="B14" s="228">
        <v>0.5</v>
      </c>
      <c r="C14" s="229">
        <v>0.5</v>
      </c>
      <c r="D14" s="230">
        <f aca="true" t="shared" si="0" ref="D14:D22">A14/(B14+C14)</f>
        <v>10</v>
      </c>
      <c r="E14" s="231"/>
      <c r="F14" s="232" t="s">
        <v>665</v>
      </c>
      <c r="G14" s="233">
        <f aca="true" t="shared" si="1" ref="G14:G22">+A14</f>
        <v>10</v>
      </c>
      <c r="H14" s="234"/>
      <c r="I14" s="236">
        <v>24533</v>
      </c>
      <c r="J14" s="223"/>
      <c r="K14" s="216"/>
      <c r="O14"/>
    </row>
    <row r="15" spans="1:15" ht="12.75" customHeight="1">
      <c r="A15" s="227">
        <v>15</v>
      </c>
      <c r="B15" s="228">
        <v>0.5</v>
      </c>
      <c r="C15" s="229">
        <v>1</v>
      </c>
      <c r="D15" s="230">
        <f t="shared" si="0"/>
        <v>10</v>
      </c>
      <c r="E15" s="231"/>
      <c r="F15" s="232" t="s">
        <v>665</v>
      </c>
      <c r="G15" s="233">
        <f t="shared" si="1"/>
        <v>15</v>
      </c>
      <c r="H15" s="234"/>
      <c r="I15" s="236">
        <v>33065</v>
      </c>
      <c r="J15" s="223"/>
      <c r="K15" s="216"/>
      <c r="O15"/>
    </row>
    <row r="16" spans="1:15" ht="12.75" customHeight="1">
      <c r="A16" s="227">
        <v>20</v>
      </c>
      <c r="B16" s="228">
        <v>1</v>
      </c>
      <c r="C16" s="229">
        <v>1</v>
      </c>
      <c r="D16" s="230">
        <f t="shared" si="0"/>
        <v>10</v>
      </c>
      <c r="E16" s="231"/>
      <c r="F16" s="232" t="s">
        <v>665</v>
      </c>
      <c r="G16" s="233">
        <f t="shared" si="1"/>
        <v>20</v>
      </c>
      <c r="H16" s="234"/>
      <c r="I16" s="236">
        <v>49064</v>
      </c>
      <c r="J16" s="223"/>
      <c r="K16" s="216"/>
      <c r="O16"/>
    </row>
    <row r="17" spans="1:15" ht="12.75" customHeight="1">
      <c r="A17" s="227">
        <v>25</v>
      </c>
      <c r="B17" s="228">
        <v>1</v>
      </c>
      <c r="C17" s="229">
        <v>1.5</v>
      </c>
      <c r="D17" s="230">
        <f t="shared" si="0"/>
        <v>10</v>
      </c>
      <c r="E17" s="231"/>
      <c r="F17" s="232" t="s">
        <v>665</v>
      </c>
      <c r="G17" s="233">
        <f t="shared" si="1"/>
        <v>25</v>
      </c>
      <c r="H17" s="234"/>
      <c r="I17" s="236">
        <v>57597</v>
      </c>
      <c r="J17" s="223"/>
      <c r="K17" s="216"/>
      <c r="O17"/>
    </row>
    <row r="18" spans="1:15" ht="12.75" customHeight="1">
      <c r="A18" s="227">
        <v>30</v>
      </c>
      <c r="B18" s="228">
        <v>1</v>
      </c>
      <c r="C18" s="229">
        <v>2</v>
      </c>
      <c r="D18" s="230">
        <f t="shared" si="0"/>
        <v>10</v>
      </c>
      <c r="E18" s="231"/>
      <c r="F18" s="232" t="s">
        <v>665</v>
      </c>
      <c r="G18" s="233">
        <f t="shared" si="1"/>
        <v>30</v>
      </c>
      <c r="H18" s="234"/>
      <c r="I18" s="236">
        <v>66129</v>
      </c>
      <c r="J18" s="223"/>
      <c r="K18" s="216"/>
      <c r="O18"/>
    </row>
    <row r="19" spans="1:15" ht="12.75" customHeight="1">
      <c r="A19" s="227">
        <v>35</v>
      </c>
      <c r="B19" s="228">
        <v>1</v>
      </c>
      <c r="C19" s="229">
        <v>2.5</v>
      </c>
      <c r="D19" s="230">
        <f t="shared" si="0"/>
        <v>10</v>
      </c>
      <c r="E19" s="231"/>
      <c r="F19" s="232" t="s">
        <v>665</v>
      </c>
      <c r="G19" s="233">
        <f t="shared" si="1"/>
        <v>35</v>
      </c>
      <c r="H19" s="234"/>
      <c r="I19" s="236">
        <v>74662</v>
      </c>
      <c r="J19" s="223"/>
      <c r="K19" s="216"/>
      <c r="O19"/>
    </row>
    <row r="20" spans="1:15" ht="12.75" customHeight="1">
      <c r="A20" s="227">
        <v>40</v>
      </c>
      <c r="B20" s="228">
        <v>2</v>
      </c>
      <c r="C20" s="229">
        <v>2</v>
      </c>
      <c r="D20" s="230">
        <f t="shared" si="0"/>
        <v>10</v>
      </c>
      <c r="E20" s="231"/>
      <c r="F20" s="232" t="s">
        <v>665</v>
      </c>
      <c r="G20" s="233">
        <f t="shared" si="1"/>
        <v>40</v>
      </c>
      <c r="H20" s="234"/>
      <c r="I20" s="236">
        <v>98128</v>
      </c>
      <c r="J20" s="223"/>
      <c r="K20" s="216"/>
      <c r="O20"/>
    </row>
    <row r="21" spans="1:15" ht="12.75" customHeight="1">
      <c r="A21" s="227">
        <v>45</v>
      </c>
      <c r="B21" s="228">
        <v>2</v>
      </c>
      <c r="C21" s="229">
        <v>2.5</v>
      </c>
      <c r="D21" s="230">
        <f t="shared" si="0"/>
        <v>10</v>
      </c>
      <c r="E21" s="231"/>
      <c r="F21" s="232" t="s">
        <v>665</v>
      </c>
      <c r="G21" s="233">
        <f t="shared" si="1"/>
        <v>45</v>
      </c>
      <c r="H21" s="234"/>
      <c r="I21" s="236">
        <v>106661</v>
      </c>
      <c r="J21" s="223"/>
      <c r="K21" s="216"/>
      <c r="O21"/>
    </row>
    <row r="22" spans="1:15" ht="12.75" customHeight="1" thickBot="1">
      <c r="A22" s="237">
        <v>50</v>
      </c>
      <c r="B22" s="238">
        <v>2</v>
      </c>
      <c r="C22" s="239">
        <v>3</v>
      </c>
      <c r="D22" s="240">
        <f t="shared" si="0"/>
        <v>10</v>
      </c>
      <c r="E22" s="231"/>
      <c r="F22" s="232" t="s">
        <v>665</v>
      </c>
      <c r="G22" s="233">
        <f t="shared" si="1"/>
        <v>50</v>
      </c>
      <c r="H22" s="234"/>
      <c r="I22" s="241">
        <v>115193</v>
      </c>
      <c r="J22" s="223"/>
      <c r="K22" s="216"/>
      <c r="O22"/>
    </row>
    <row r="23" spans="3:15" ht="12.75" customHeight="1">
      <c r="C23" s="223"/>
      <c r="D23" s="223"/>
      <c r="E23" s="223"/>
      <c r="F23" s="223"/>
      <c r="J23" s="223"/>
      <c r="O23"/>
    </row>
    <row r="24" spans="5:15" ht="12.75" customHeight="1">
      <c r="E24" s="223"/>
      <c r="F24" s="223"/>
      <c r="J24" s="223"/>
      <c r="K24" s="242"/>
      <c r="M24" s="243"/>
      <c r="O24"/>
    </row>
    <row r="25" spans="2:15" ht="12.75" customHeight="1" thickBot="1">
      <c r="B25" s="177"/>
      <c r="C25" s="800"/>
      <c r="D25" s="800"/>
      <c r="E25" s="800"/>
      <c r="F25" s="800"/>
      <c r="G25" s="800"/>
      <c r="H25" s="800"/>
      <c r="I25" s="800"/>
      <c r="J25" s="800"/>
      <c r="K25" s="244" t="s">
        <v>666</v>
      </c>
      <c r="O25"/>
    </row>
    <row r="26" spans="2:15" ht="12.75" customHeight="1" thickBot="1">
      <c r="B26" s="245"/>
      <c r="C26" s="801"/>
      <c r="D26" s="801"/>
      <c r="E26" s="801"/>
      <c r="F26" s="801"/>
      <c r="G26" s="801"/>
      <c r="H26" s="801"/>
      <c r="I26" s="801"/>
      <c r="J26" s="795"/>
      <c r="K26" s="247">
        <v>2462716</v>
      </c>
      <c r="M26" s="248">
        <f>+K26/$K$284</f>
        <v>0.048701066283172896</v>
      </c>
      <c r="O26"/>
    </row>
    <row r="27" spans="2:15" ht="12.75" customHeight="1">
      <c r="B27" s="802" t="s">
        <v>667</v>
      </c>
      <c r="C27" s="803"/>
      <c r="D27" s="803"/>
      <c r="E27" s="803"/>
      <c r="F27" s="803"/>
      <c r="G27" s="803"/>
      <c r="H27" s="803"/>
      <c r="I27" s="803"/>
      <c r="J27" s="249"/>
      <c r="K27" s="242"/>
      <c r="M27" s="243"/>
      <c r="O27"/>
    </row>
    <row r="28" spans="2:15" ht="25.5" customHeight="1">
      <c r="B28" s="865" t="s">
        <v>668</v>
      </c>
      <c r="C28" s="866"/>
      <c r="D28" s="866"/>
      <c r="E28" s="866"/>
      <c r="F28" s="866"/>
      <c r="G28" s="866"/>
      <c r="H28" s="866"/>
      <c r="I28" s="867"/>
      <c r="J28" s="250"/>
      <c r="K28" s="242"/>
      <c r="M28" s="243"/>
      <c r="O28"/>
    </row>
    <row r="29" spans="2:15" ht="24.75" customHeight="1">
      <c r="B29" s="865" t="s">
        <v>669</v>
      </c>
      <c r="C29" s="866"/>
      <c r="D29" s="866"/>
      <c r="E29" s="866"/>
      <c r="F29" s="866"/>
      <c r="G29" s="866"/>
      <c r="H29" s="866"/>
      <c r="I29" s="867"/>
      <c r="J29" s="250"/>
      <c r="K29" s="242"/>
      <c r="M29" s="243"/>
      <c r="O29"/>
    </row>
    <row r="30" spans="2:15" ht="26.25" customHeight="1">
      <c r="B30" s="865" t="s">
        <v>670</v>
      </c>
      <c r="C30" s="866"/>
      <c r="D30" s="866"/>
      <c r="E30" s="866"/>
      <c r="F30" s="866"/>
      <c r="G30" s="866"/>
      <c r="H30" s="866"/>
      <c r="I30" s="867"/>
      <c r="J30" s="250"/>
      <c r="K30" s="242"/>
      <c r="M30" s="243"/>
      <c r="O30"/>
    </row>
    <row r="31" spans="3:15" ht="12.75" customHeight="1">
      <c r="C31" s="251"/>
      <c r="D31" s="251"/>
      <c r="E31" s="251"/>
      <c r="O31"/>
    </row>
    <row r="32" spans="2:15" ht="12.75" customHeight="1">
      <c r="B32" s="252" t="s">
        <v>671</v>
      </c>
      <c r="C32" s="861" t="s">
        <v>672</v>
      </c>
      <c r="D32" s="861"/>
      <c r="E32" s="861"/>
      <c r="F32" s="861"/>
      <c r="G32" s="861"/>
      <c r="H32" s="861"/>
      <c r="I32" s="862"/>
      <c r="O32"/>
    </row>
    <row r="33" spans="7:13" s="214" customFormat="1" ht="12.75" customHeight="1" thickBot="1">
      <c r="G33" s="253"/>
      <c r="I33" s="254"/>
      <c r="J33" s="255"/>
      <c r="K33" s="256" t="s">
        <v>666</v>
      </c>
      <c r="M33" s="216"/>
    </row>
    <row r="34" spans="4:13" s="214" customFormat="1" ht="12.75" customHeight="1" thickBot="1">
      <c r="D34" s="863" t="s">
        <v>673</v>
      </c>
      <c r="E34" s="863"/>
      <c r="F34" s="863"/>
      <c r="G34" s="257"/>
      <c r="H34" s="255"/>
      <c r="I34" s="258">
        <v>0</v>
      </c>
      <c r="J34" s="255"/>
      <c r="K34" s="247">
        <v>0</v>
      </c>
      <c r="M34" s="248">
        <f>+K34/$K$284</f>
        <v>0</v>
      </c>
    </row>
    <row r="35" spans="4:13" s="214" customFormat="1" ht="12.75" customHeight="1">
      <c r="D35" s="864"/>
      <c r="E35" s="864"/>
      <c r="F35" s="864"/>
      <c r="G35" s="259"/>
      <c r="H35" s="260"/>
      <c r="I35" s="261"/>
      <c r="J35" s="255"/>
      <c r="K35" s="242"/>
      <c r="M35" s="243"/>
    </row>
    <row r="36" spans="3:13" s="214" customFormat="1" ht="12.75" customHeight="1" thickBot="1">
      <c r="C36" s="262"/>
      <c r="D36" s="263"/>
      <c r="E36" s="263"/>
      <c r="F36" s="262"/>
      <c r="G36" s="264"/>
      <c r="H36" s="255"/>
      <c r="I36" s="261"/>
      <c r="J36" s="255"/>
      <c r="K36" s="256" t="s">
        <v>666</v>
      </c>
      <c r="M36" s="265"/>
    </row>
    <row r="37" spans="3:13" s="214" customFormat="1" ht="12.75" customHeight="1" thickBot="1">
      <c r="C37" s="262"/>
      <c r="D37" s="863" t="s">
        <v>674</v>
      </c>
      <c r="E37" s="863"/>
      <c r="F37" s="863"/>
      <c r="G37" s="257" t="s">
        <v>675</v>
      </c>
      <c r="H37" s="255"/>
      <c r="I37" s="266">
        <v>1066.66</v>
      </c>
      <c r="J37" s="255"/>
      <c r="K37" s="247">
        <v>594128</v>
      </c>
      <c r="M37" s="248">
        <f>+K37/$K$284</f>
        <v>0.011749088042912356</v>
      </c>
    </row>
    <row r="38" spans="3:13" s="214" customFormat="1" ht="12.75" customHeight="1">
      <c r="C38" s="262"/>
      <c r="D38" s="263"/>
      <c r="E38" s="263"/>
      <c r="F38" s="262"/>
      <c r="G38" s="264"/>
      <c r="H38" s="255"/>
      <c r="I38" s="261"/>
      <c r="J38" s="255"/>
      <c r="K38" s="216"/>
      <c r="M38" s="216"/>
    </row>
    <row r="39" spans="2:13" s="214" customFormat="1" ht="12.75" customHeight="1">
      <c r="B39" s="802" t="s">
        <v>667</v>
      </c>
      <c r="C39" s="803"/>
      <c r="D39" s="803"/>
      <c r="E39" s="803"/>
      <c r="F39" s="803"/>
      <c r="G39" s="803"/>
      <c r="H39" s="803"/>
      <c r="I39" s="803"/>
      <c r="J39" s="249"/>
      <c r="K39" s="216"/>
      <c r="M39" s="216"/>
    </row>
    <row r="40" spans="2:13" s="214" customFormat="1" ht="51.75" customHeight="1">
      <c r="B40" s="799" t="s">
        <v>676</v>
      </c>
      <c r="C40" s="799"/>
      <c r="D40" s="799"/>
      <c r="E40" s="799"/>
      <c r="F40" s="799"/>
      <c r="G40" s="799"/>
      <c r="H40" s="799"/>
      <c r="I40" s="799"/>
      <c r="J40" s="250"/>
      <c r="K40" s="216"/>
      <c r="M40" s="216"/>
    </row>
    <row r="41" spans="2:13" s="214" customFormat="1" ht="12">
      <c r="B41" s="799" t="s">
        <v>677</v>
      </c>
      <c r="C41" s="799"/>
      <c r="D41" s="799"/>
      <c r="E41" s="799"/>
      <c r="F41" s="799"/>
      <c r="G41" s="799"/>
      <c r="H41" s="799"/>
      <c r="I41" s="799"/>
      <c r="J41" s="250"/>
      <c r="K41" s="216"/>
      <c r="M41" s="216"/>
    </row>
    <row r="42" spans="2:13" s="214" customFormat="1" ht="12.75" customHeight="1">
      <c r="B42" s="799" t="s">
        <v>678</v>
      </c>
      <c r="C42" s="799"/>
      <c r="D42" s="799"/>
      <c r="E42" s="799"/>
      <c r="F42" s="799"/>
      <c r="G42" s="799"/>
      <c r="H42" s="799"/>
      <c r="I42" s="799"/>
      <c r="J42" s="250"/>
      <c r="K42" s="216"/>
      <c r="M42" s="216"/>
    </row>
    <row r="43" spans="2:13" s="214" customFormat="1" ht="12.75" customHeight="1">
      <c r="B43" s="799" t="s">
        <v>679</v>
      </c>
      <c r="C43" s="799"/>
      <c r="D43" s="799"/>
      <c r="E43" s="799"/>
      <c r="F43" s="799"/>
      <c r="G43" s="799"/>
      <c r="H43" s="799"/>
      <c r="I43" s="799"/>
      <c r="J43" s="250"/>
      <c r="K43" s="216"/>
      <c r="M43" s="216"/>
    </row>
    <row r="44" spans="2:13" s="214" customFormat="1" ht="31.5" customHeight="1">
      <c r="B44" s="799" t="s">
        <v>680</v>
      </c>
      <c r="C44" s="799"/>
      <c r="D44" s="799"/>
      <c r="E44" s="799"/>
      <c r="F44" s="799"/>
      <c r="G44" s="799"/>
      <c r="H44" s="799"/>
      <c r="I44" s="799"/>
      <c r="J44" s="250"/>
      <c r="K44" s="216"/>
      <c r="M44" s="216"/>
    </row>
    <row r="45" spans="2:13" s="214" customFormat="1" ht="12">
      <c r="B45" s="267"/>
      <c r="C45" s="267"/>
      <c r="D45" s="267"/>
      <c r="E45" s="267"/>
      <c r="F45" s="267"/>
      <c r="G45" s="268"/>
      <c r="H45" s="267"/>
      <c r="I45" s="267"/>
      <c r="J45" s="198"/>
      <c r="K45" s="216"/>
      <c r="M45" s="216"/>
    </row>
    <row r="46" spans="2:15" ht="27" customHeight="1">
      <c r="B46" s="858" t="s">
        <v>681</v>
      </c>
      <c r="C46" s="858"/>
      <c r="D46" s="858"/>
      <c r="E46" s="858"/>
      <c r="F46" s="858"/>
      <c r="G46" s="269" t="s">
        <v>682</v>
      </c>
      <c r="H46" s="270"/>
      <c r="I46" s="271"/>
      <c r="J46" s="272"/>
      <c r="K46" s="216"/>
      <c r="O46"/>
    </row>
    <row r="47" spans="3:15" s="214" customFormat="1" ht="37.5" customHeight="1">
      <c r="C47" s="273" t="s">
        <v>683</v>
      </c>
      <c r="D47" s="274" t="s">
        <v>684</v>
      </c>
      <c r="E47" s="859" t="s">
        <v>685</v>
      </c>
      <c r="F47" s="860"/>
      <c r="G47" s="257"/>
      <c r="H47" s="255"/>
      <c r="I47" s="271"/>
      <c r="J47" s="255"/>
      <c r="K47" s="216"/>
      <c r="M47" s="216"/>
      <c r="O47" s="275" t="s">
        <v>686</v>
      </c>
    </row>
    <row r="48" spans="3:15" s="214" customFormat="1" ht="12.75" customHeight="1">
      <c r="C48" s="262"/>
      <c r="D48" s="263"/>
      <c r="E48" s="263"/>
      <c r="F48" s="262"/>
      <c r="G48" s="257"/>
      <c r="H48" s="255"/>
      <c r="I48" s="276"/>
      <c r="J48" s="255"/>
      <c r="K48" s="216"/>
      <c r="M48" s="216"/>
      <c r="O48" s="216"/>
    </row>
    <row r="49" spans="3:15" ht="12.75" customHeight="1">
      <c r="C49" s="127" t="s">
        <v>687</v>
      </c>
      <c r="D49" s="277" t="s">
        <v>35</v>
      </c>
      <c r="E49" s="855"/>
      <c r="F49" s="856"/>
      <c r="G49" s="279">
        <v>0</v>
      </c>
      <c r="H49" s="234"/>
      <c r="I49" s="280">
        <v>493.65</v>
      </c>
      <c r="J49" s="223"/>
      <c r="O49" s="281">
        <v>1076.6666666666665</v>
      </c>
    </row>
    <row r="50" spans="3:15" ht="12.75" customHeight="1">
      <c r="C50" s="127" t="s">
        <v>687</v>
      </c>
      <c r="D50" s="277" t="s">
        <v>542</v>
      </c>
      <c r="E50" s="855">
        <v>4</v>
      </c>
      <c r="F50" s="856"/>
      <c r="G50" s="279">
        <v>1.2762671821305835</v>
      </c>
      <c r="H50" s="234"/>
      <c r="I50" s="280">
        <v>2376.92</v>
      </c>
      <c r="J50" s="223"/>
      <c r="O50" s="281">
        <v>2382</v>
      </c>
    </row>
    <row r="51" spans="3:15" ht="12.75" customHeight="1">
      <c r="C51" s="127">
        <v>1</v>
      </c>
      <c r="D51" s="278">
        <v>1</v>
      </c>
      <c r="E51" s="857">
        <v>5</v>
      </c>
      <c r="F51" s="856"/>
      <c r="G51" s="282">
        <v>1</v>
      </c>
      <c r="H51" s="234"/>
      <c r="I51" s="283">
        <v>1862.4</v>
      </c>
      <c r="J51" s="223"/>
      <c r="O51" s="281">
        <v>2415</v>
      </c>
    </row>
    <row r="52" spans="4:15" ht="12.75" customHeight="1">
      <c r="D52" s="284">
        <v>2</v>
      </c>
      <c r="E52" s="852">
        <v>6</v>
      </c>
      <c r="F52" s="853"/>
      <c r="G52" s="282">
        <v>1</v>
      </c>
      <c r="H52" s="234"/>
      <c r="I52" s="283">
        <v>1862.4</v>
      </c>
      <c r="J52" s="223"/>
      <c r="O52" s="281">
        <v>2536</v>
      </c>
    </row>
    <row r="53" spans="3:15" ht="12.75" customHeight="1">
      <c r="C53" s="849">
        <v>2</v>
      </c>
      <c r="D53" s="278">
        <v>3</v>
      </c>
      <c r="E53" s="850">
        <v>7</v>
      </c>
      <c r="F53" s="851"/>
      <c r="G53" s="282">
        <v>1.0415807560137458</v>
      </c>
      <c r="H53" s="234"/>
      <c r="I53" s="283">
        <v>1939.84</v>
      </c>
      <c r="J53" s="223"/>
      <c r="O53" s="281">
        <v>2497</v>
      </c>
    </row>
    <row r="54" spans="3:15" ht="12.75" customHeight="1">
      <c r="C54" s="849"/>
      <c r="D54" s="278">
        <v>4</v>
      </c>
      <c r="E54" s="855">
        <v>8</v>
      </c>
      <c r="F54" s="856"/>
      <c r="G54" s="282">
        <v>1.0026793384879724</v>
      </c>
      <c r="H54" s="234"/>
      <c r="I54" s="283">
        <v>1867.39</v>
      </c>
      <c r="J54" s="223"/>
      <c r="O54" s="281">
        <v>2642</v>
      </c>
    </row>
    <row r="55" spans="3:15" ht="12.75" customHeight="1">
      <c r="C55" s="849"/>
      <c r="D55" s="278">
        <v>5</v>
      </c>
      <c r="E55" s="855">
        <v>9</v>
      </c>
      <c r="F55" s="856"/>
      <c r="G55" s="282">
        <v>1.0026793384879724</v>
      </c>
      <c r="H55" s="234"/>
      <c r="I55" s="283">
        <v>1867.39</v>
      </c>
      <c r="J55" s="223"/>
      <c r="O55" s="281">
        <v>2688</v>
      </c>
    </row>
    <row r="56" spans="3:15" ht="12.75" customHeight="1">
      <c r="C56" s="849"/>
      <c r="D56" s="284">
        <v>6</v>
      </c>
      <c r="E56" s="852">
        <v>10</v>
      </c>
      <c r="F56" s="853"/>
      <c r="G56" s="282">
        <v>1.0026793384879724</v>
      </c>
      <c r="H56" s="234"/>
      <c r="I56" s="283">
        <v>1867.39</v>
      </c>
      <c r="J56" s="223"/>
      <c r="O56" s="281">
        <v>2706</v>
      </c>
    </row>
    <row r="57" spans="3:15" ht="12.75" customHeight="1">
      <c r="C57" s="849">
        <v>3</v>
      </c>
      <c r="D57" s="278">
        <v>7</v>
      </c>
      <c r="E57" s="850">
        <v>11</v>
      </c>
      <c r="F57" s="851"/>
      <c r="G57" s="282">
        <v>1.3010577749140892</v>
      </c>
      <c r="H57" s="234"/>
      <c r="I57" s="283">
        <v>2423.09</v>
      </c>
      <c r="J57" s="223"/>
      <c r="O57" s="281">
        <v>2931</v>
      </c>
    </row>
    <row r="58" spans="3:15" ht="12.75" customHeight="1">
      <c r="C58" s="849"/>
      <c r="D58" s="278">
        <v>8</v>
      </c>
      <c r="E58" s="855">
        <v>12</v>
      </c>
      <c r="F58" s="856"/>
      <c r="G58" s="282">
        <v>1.3010577749140892</v>
      </c>
      <c r="H58" s="234"/>
      <c r="I58" s="283">
        <v>2423.09</v>
      </c>
      <c r="J58" s="223"/>
      <c r="K58" s="244" t="s">
        <v>666</v>
      </c>
      <c r="O58" s="281">
        <v>2914</v>
      </c>
    </row>
    <row r="59" spans="3:15" ht="12.75" customHeight="1">
      <c r="C59" s="849"/>
      <c r="D59" s="284">
        <v>9</v>
      </c>
      <c r="E59" s="852">
        <v>13</v>
      </c>
      <c r="F59" s="853"/>
      <c r="G59" s="282">
        <v>1.3010577749140892</v>
      </c>
      <c r="H59" s="234"/>
      <c r="I59" s="283">
        <v>2423.09</v>
      </c>
      <c r="J59" s="223"/>
      <c r="K59" s="283">
        <v>35264188.85999999</v>
      </c>
      <c r="M59" s="248">
        <f>+K59/$K$284</f>
        <v>0.6973616117705763</v>
      </c>
      <c r="O59" s="281">
        <v>2920</v>
      </c>
    </row>
    <row r="60" spans="3:15" ht="12.75" customHeight="1">
      <c r="C60" s="849">
        <v>4</v>
      </c>
      <c r="D60" s="278">
        <v>10</v>
      </c>
      <c r="E60" s="850">
        <v>14</v>
      </c>
      <c r="F60" s="851"/>
      <c r="G60" s="282">
        <v>1.4899591924398625</v>
      </c>
      <c r="H60" s="234"/>
      <c r="I60" s="283">
        <v>2774.9</v>
      </c>
      <c r="J60" s="223"/>
      <c r="K60" s="285" t="s">
        <v>688</v>
      </c>
      <c r="O60" s="281">
        <v>3001</v>
      </c>
    </row>
    <row r="61" spans="3:15" ht="12.75" customHeight="1">
      <c r="C61" s="849"/>
      <c r="D61" s="284">
        <v>11</v>
      </c>
      <c r="E61" s="852">
        <v>15</v>
      </c>
      <c r="F61" s="853"/>
      <c r="G61" s="282">
        <v>1.6127845790378006</v>
      </c>
      <c r="H61" s="234"/>
      <c r="I61" s="283">
        <v>3003.65</v>
      </c>
      <c r="J61" s="223"/>
      <c r="K61" s="283">
        <v>36776050.68416667</v>
      </c>
      <c r="M61" s="248">
        <f>+K61/$K$286</f>
        <v>0.7403052409794243</v>
      </c>
      <c r="O61" s="281">
        <v>2961</v>
      </c>
    </row>
    <row r="62" spans="3:15" ht="12.75" customHeight="1" thickBot="1">
      <c r="C62" s="208"/>
      <c r="D62" s="278"/>
      <c r="E62" s="278"/>
      <c r="F62" s="278"/>
      <c r="G62" s="286"/>
      <c r="H62" s="287"/>
      <c r="I62" s="261"/>
      <c r="J62" s="223"/>
      <c r="K62" s="288"/>
      <c r="M62" s="243"/>
      <c r="O62" s="223"/>
    </row>
    <row r="63" spans="2:15" ht="12.75" customHeight="1" thickBot="1">
      <c r="B63" s="854" t="s">
        <v>689</v>
      </c>
      <c r="C63" s="854"/>
      <c r="D63" s="854"/>
      <c r="E63" s="854"/>
      <c r="F63" s="854"/>
      <c r="G63" s="854"/>
      <c r="H63" s="287"/>
      <c r="I63" s="290">
        <v>0</v>
      </c>
      <c r="J63" s="223"/>
      <c r="K63" s="291">
        <v>0</v>
      </c>
      <c r="M63" s="292"/>
      <c r="O63" s="281"/>
    </row>
    <row r="64" spans="3:15" ht="12.75" customHeight="1">
      <c r="C64" s="208"/>
      <c r="D64" s="278"/>
      <c r="E64" s="278"/>
      <c r="F64" s="278"/>
      <c r="G64" s="286"/>
      <c r="H64" s="287"/>
      <c r="I64" s="261"/>
      <c r="J64" s="225"/>
      <c r="K64" s="288"/>
      <c r="M64" s="243"/>
      <c r="O64"/>
    </row>
    <row r="65" spans="2:15" ht="12.75" customHeight="1">
      <c r="B65" s="802" t="s">
        <v>667</v>
      </c>
      <c r="C65" s="803"/>
      <c r="D65" s="803"/>
      <c r="E65" s="803"/>
      <c r="F65" s="803"/>
      <c r="G65" s="803"/>
      <c r="H65" s="803"/>
      <c r="I65" s="803"/>
      <c r="J65" s="249"/>
      <c r="K65" s="242"/>
      <c r="M65" s="243"/>
      <c r="O65"/>
    </row>
    <row r="66" spans="2:15" ht="31.5" customHeight="1">
      <c r="B66" s="799" t="s">
        <v>690</v>
      </c>
      <c r="C66" s="799"/>
      <c r="D66" s="799"/>
      <c r="E66" s="799"/>
      <c r="F66" s="799"/>
      <c r="G66" s="799"/>
      <c r="H66" s="799"/>
      <c r="I66" s="799"/>
      <c r="J66" s="250"/>
      <c r="K66" s="242"/>
      <c r="M66" s="243"/>
      <c r="O66" s="293"/>
    </row>
    <row r="67" spans="2:15" ht="12.75" customHeight="1">
      <c r="B67" s="799" t="s">
        <v>691</v>
      </c>
      <c r="C67" s="799"/>
      <c r="D67" s="799"/>
      <c r="E67" s="799"/>
      <c r="F67" s="799"/>
      <c r="G67" s="799"/>
      <c r="H67" s="799"/>
      <c r="I67" s="799"/>
      <c r="J67" s="250"/>
      <c r="K67" s="242"/>
      <c r="M67" s="243"/>
      <c r="O67"/>
    </row>
    <row r="68" spans="2:15" ht="45" customHeight="1">
      <c r="B68" s="799" t="s">
        <v>692</v>
      </c>
      <c r="C68" s="799"/>
      <c r="D68" s="799"/>
      <c r="E68" s="799"/>
      <c r="F68" s="799"/>
      <c r="G68" s="799"/>
      <c r="H68" s="799"/>
      <c r="I68" s="799"/>
      <c r="J68" s="250"/>
      <c r="K68" s="242"/>
      <c r="M68" s="243"/>
      <c r="O68"/>
    </row>
    <row r="69" spans="3:15" ht="12.75" customHeight="1">
      <c r="C69" s="197"/>
      <c r="D69" s="197"/>
      <c r="E69" s="197"/>
      <c r="O69"/>
    </row>
    <row r="70" spans="2:15" ht="12.75" customHeight="1">
      <c r="B70" s="845" t="s">
        <v>693</v>
      </c>
      <c r="C70" s="846"/>
      <c r="D70" s="846"/>
      <c r="E70" s="846"/>
      <c r="F70" s="846"/>
      <c r="G70" s="846"/>
      <c r="H70" s="846"/>
      <c r="I70" s="847"/>
      <c r="K70" s="216"/>
      <c r="O70"/>
    </row>
    <row r="71" spans="2:15" ht="12.75" customHeight="1">
      <c r="B71" s="177"/>
      <c r="C71" s="246"/>
      <c r="D71" s="246"/>
      <c r="E71" s="246"/>
      <c r="F71" s="198"/>
      <c r="G71" s="294"/>
      <c r="I71" s="295"/>
      <c r="K71" s="216"/>
      <c r="O71"/>
    </row>
    <row r="72" spans="2:15" ht="12.75" customHeight="1">
      <c r="B72" s="177"/>
      <c r="C72" s="198" t="s">
        <v>694</v>
      </c>
      <c r="D72" s="198"/>
      <c r="E72" s="198"/>
      <c r="F72" s="296"/>
      <c r="G72" s="297">
        <v>3074404</v>
      </c>
      <c r="H72" s="287"/>
      <c r="I72" s="298"/>
      <c r="K72" s="299">
        <f>+G72</f>
        <v>3074404</v>
      </c>
      <c r="M72" s="248">
        <f>+K72/$K$286</f>
        <v>0.061888031796410364</v>
      </c>
      <c r="O72"/>
    </row>
    <row r="73" spans="2:15" ht="12.75" customHeight="1">
      <c r="B73" s="177"/>
      <c r="C73" s="246"/>
      <c r="D73" s="296" t="s">
        <v>209</v>
      </c>
      <c r="E73" s="300"/>
      <c r="F73" s="300"/>
      <c r="G73" s="253"/>
      <c r="I73" s="298"/>
      <c r="K73" s="242"/>
      <c r="M73" s="243"/>
      <c r="O73"/>
    </row>
    <row r="74" spans="2:15" ht="12.75" customHeight="1" thickBot="1">
      <c r="B74" s="177"/>
      <c r="C74" s="800"/>
      <c r="D74" s="800"/>
      <c r="E74" s="800"/>
      <c r="F74" s="800"/>
      <c r="G74" s="800"/>
      <c r="H74" s="800"/>
      <c r="I74" s="800"/>
      <c r="K74" s="256" t="s">
        <v>688</v>
      </c>
      <c r="O74"/>
    </row>
    <row r="75" spans="2:15" ht="12.75" customHeight="1" thickBot="1">
      <c r="B75" s="245"/>
      <c r="C75" s="801"/>
      <c r="D75" s="801"/>
      <c r="E75" s="801"/>
      <c r="F75" s="801"/>
      <c r="G75" s="801"/>
      <c r="H75" s="801"/>
      <c r="I75" s="801"/>
      <c r="K75" s="247">
        <f>+G72</f>
        <v>3074404</v>
      </c>
      <c r="O75"/>
    </row>
    <row r="76" spans="2:15" ht="12.75" customHeight="1">
      <c r="B76" s="802" t="s">
        <v>667</v>
      </c>
      <c r="C76" s="803"/>
      <c r="D76" s="803"/>
      <c r="E76" s="803"/>
      <c r="F76" s="803"/>
      <c r="G76" s="803"/>
      <c r="H76" s="803"/>
      <c r="I76" s="803"/>
      <c r="J76" s="249"/>
      <c r="K76" s="242"/>
      <c r="M76" s="243"/>
      <c r="O76"/>
    </row>
    <row r="77" spans="2:15" ht="29.25" customHeight="1">
      <c r="B77" s="799" t="s">
        <v>695</v>
      </c>
      <c r="C77" s="799"/>
      <c r="D77" s="799"/>
      <c r="E77" s="799"/>
      <c r="F77" s="799"/>
      <c r="G77" s="799"/>
      <c r="H77" s="799"/>
      <c r="I77" s="799"/>
      <c r="J77" s="250"/>
      <c r="K77" s="242"/>
      <c r="M77" s="243"/>
      <c r="O77"/>
    </row>
    <row r="78" spans="3:15" ht="12.75" customHeight="1">
      <c r="C78" s="196"/>
      <c r="D78" s="196"/>
      <c r="E78" s="196"/>
      <c r="O78"/>
    </row>
    <row r="79" spans="2:15" ht="12.75" customHeight="1">
      <c r="B79" s="845" t="s">
        <v>696</v>
      </c>
      <c r="C79" s="846"/>
      <c r="D79" s="846"/>
      <c r="E79" s="846"/>
      <c r="F79" s="846"/>
      <c r="G79" s="846"/>
      <c r="H79" s="846"/>
      <c r="I79" s="847"/>
      <c r="K79" s="242"/>
      <c r="O79"/>
    </row>
    <row r="80" spans="2:15" ht="12.75" customHeight="1">
      <c r="B80" s="177"/>
      <c r="C80" s="246"/>
      <c r="D80" s="246"/>
      <c r="E80" s="246"/>
      <c r="F80" s="198"/>
      <c r="G80" s="294"/>
      <c r="I80" s="295"/>
      <c r="K80" s="242"/>
      <c r="O80"/>
    </row>
    <row r="81" spans="2:15" ht="12.75" customHeight="1">
      <c r="B81" s="177"/>
      <c r="C81" s="246"/>
      <c r="D81" s="848" t="s">
        <v>697</v>
      </c>
      <c r="E81" s="848"/>
      <c r="F81" s="848"/>
      <c r="G81" s="301"/>
      <c r="I81" s="258">
        <v>0</v>
      </c>
      <c r="K81" s="299">
        <v>0</v>
      </c>
      <c r="M81" s="302"/>
      <c r="O81"/>
    </row>
    <row r="82" spans="2:15" ht="12.75" customHeight="1">
      <c r="B82" s="177"/>
      <c r="C82" s="246"/>
      <c r="D82" s="848" t="s">
        <v>698</v>
      </c>
      <c r="E82" s="848"/>
      <c r="F82" s="848"/>
      <c r="G82" s="301"/>
      <c r="I82" s="258">
        <v>0</v>
      </c>
      <c r="K82" s="299">
        <v>0</v>
      </c>
      <c r="M82" s="302"/>
      <c r="O82"/>
    </row>
    <row r="83" spans="2:15" ht="12.75" customHeight="1">
      <c r="B83" s="177"/>
      <c r="C83" s="246"/>
      <c r="D83" s="246"/>
      <c r="E83" s="246"/>
      <c r="F83" s="198"/>
      <c r="G83" s="294"/>
      <c r="I83" s="295"/>
      <c r="K83" s="242"/>
      <c r="O83"/>
    </row>
    <row r="84" spans="2:15" ht="12.75" customHeight="1" thickBot="1">
      <c r="B84" s="177"/>
      <c r="C84" s="795"/>
      <c r="D84" s="795"/>
      <c r="E84" s="795"/>
      <c r="F84" s="795"/>
      <c r="G84" s="795"/>
      <c r="H84" s="795"/>
      <c r="I84" s="795"/>
      <c r="K84" s="256" t="s">
        <v>688</v>
      </c>
      <c r="O84"/>
    </row>
    <row r="85" spans="2:15" ht="12.75" customHeight="1" thickBot="1">
      <c r="B85" s="245"/>
      <c r="C85" s="809"/>
      <c r="D85" s="809"/>
      <c r="E85" s="809"/>
      <c r="F85" s="809"/>
      <c r="G85" s="809"/>
      <c r="H85" s="809"/>
      <c r="I85" s="809"/>
      <c r="K85" s="247">
        <v>0</v>
      </c>
      <c r="O85"/>
    </row>
    <row r="86" spans="2:15" ht="12.75" customHeight="1">
      <c r="B86" s="802" t="s">
        <v>667</v>
      </c>
      <c r="C86" s="803"/>
      <c r="D86" s="803"/>
      <c r="E86" s="803"/>
      <c r="F86" s="803"/>
      <c r="G86" s="803"/>
      <c r="H86" s="803"/>
      <c r="I86" s="803"/>
      <c r="J86" s="249"/>
      <c r="K86" s="242"/>
      <c r="M86" s="243"/>
      <c r="O86"/>
    </row>
    <row r="87" spans="2:15" ht="12.75" customHeight="1">
      <c r="B87" s="799" t="s">
        <v>699</v>
      </c>
      <c r="C87" s="799"/>
      <c r="D87" s="799"/>
      <c r="E87" s="799"/>
      <c r="F87" s="799"/>
      <c r="G87" s="799"/>
      <c r="H87" s="799"/>
      <c r="I87" s="799"/>
      <c r="J87" s="250"/>
      <c r="K87" s="242"/>
      <c r="M87" s="243"/>
      <c r="O87"/>
    </row>
    <row r="88" spans="3:15" ht="12.75" customHeight="1">
      <c r="C88" s="196"/>
      <c r="D88" s="196"/>
      <c r="E88" s="196"/>
      <c r="O88"/>
    </row>
    <row r="89" spans="2:15" ht="15">
      <c r="B89" s="821" t="s">
        <v>700</v>
      </c>
      <c r="C89" s="822"/>
      <c r="D89" s="822"/>
      <c r="E89" s="822"/>
      <c r="F89" s="822"/>
      <c r="G89" s="822"/>
      <c r="H89" s="822"/>
      <c r="I89" s="823"/>
      <c r="J89" s="223"/>
      <c r="K89" s="216"/>
      <c r="O89"/>
    </row>
    <row r="90" spans="2:15" ht="12.75" customHeight="1">
      <c r="B90" s="303"/>
      <c r="C90" s="303"/>
      <c r="D90" s="303"/>
      <c r="E90" s="303"/>
      <c r="F90" s="303"/>
      <c r="G90" s="304"/>
      <c r="H90" s="303"/>
      <c r="I90" s="305"/>
      <c r="J90" s="287"/>
      <c r="K90" s="216"/>
      <c r="O90"/>
    </row>
    <row r="91" spans="3:15" ht="12.75" customHeight="1" thickBot="1">
      <c r="C91" s="223"/>
      <c r="D91" s="838"/>
      <c r="E91" s="838"/>
      <c r="F91" s="838"/>
      <c r="G91" s="233"/>
      <c r="H91" s="287"/>
      <c r="I91" s="306"/>
      <c r="J91" s="223"/>
      <c r="K91" s="256" t="s">
        <v>666</v>
      </c>
      <c r="O91"/>
    </row>
    <row r="92" spans="3:15" ht="12.75" customHeight="1" thickBot="1">
      <c r="C92" s="222"/>
      <c r="D92" s="838"/>
      <c r="E92" s="838"/>
      <c r="F92" s="838"/>
      <c r="G92" s="233"/>
      <c r="H92" s="234"/>
      <c r="I92" s="241"/>
      <c r="J92" s="223"/>
      <c r="K92" s="247">
        <v>0</v>
      </c>
      <c r="M92" s="248">
        <f>+K92/$K$284</f>
        <v>0</v>
      </c>
      <c r="O92"/>
    </row>
    <row r="93" spans="3:15" ht="12.75" customHeight="1" thickBot="1">
      <c r="C93" s="222"/>
      <c r="D93" s="838"/>
      <c r="E93" s="838"/>
      <c r="F93" s="838"/>
      <c r="G93" s="233"/>
      <c r="H93" s="234"/>
      <c r="I93" s="241"/>
      <c r="J93" s="223"/>
      <c r="K93" s="285" t="s">
        <v>688</v>
      </c>
      <c r="O93"/>
    </row>
    <row r="94" spans="3:15" ht="12.75" customHeight="1" thickBot="1">
      <c r="C94" s="223"/>
      <c r="D94" s="223"/>
      <c r="E94" s="223"/>
      <c r="F94" s="223"/>
      <c r="J94" s="223"/>
      <c r="K94" s="247">
        <v>0</v>
      </c>
      <c r="M94" s="248">
        <f>+K94/$K$286</f>
        <v>0</v>
      </c>
      <c r="O94"/>
    </row>
    <row r="95" spans="2:15" ht="12.75" customHeight="1">
      <c r="B95" s="802" t="s">
        <v>667</v>
      </c>
      <c r="C95" s="803"/>
      <c r="D95" s="803"/>
      <c r="E95" s="803"/>
      <c r="F95" s="803"/>
      <c r="G95" s="803"/>
      <c r="H95" s="803"/>
      <c r="I95" s="803"/>
      <c r="J95" s="249"/>
      <c r="K95" s="242"/>
      <c r="M95" s="243"/>
      <c r="O95"/>
    </row>
    <row r="96" spans="2:15" ht="12.75" customHeight="1">
      <c r="B96" s="799" t="s">
        <v>699</v>
      </c>
      <c r="C96" s="799"/>
      <c r="D96" s="799"/>
      <c r="E96" s="799"/>
      <c r="F96" s="799"/>
      <c r="G96" s="799"/>
      <c r="H96" s="799"/>
      <c r="I96" s="799"/>
      <c r="J96" s="250"/>
      <c r="K96" s="242"/>
      <c r="M96" s="243"/>
      <c r="O96"/>
    </row>
    <row r="97" spans="2:15" ht="12.75" customHeight="1">
      <c r="B97" s="177"/>
      <c r="C97" s="307"/>
      <c r="D97" s="307"/>
      <c r="E97" s="307"/>
      <c r="F97" s="307"/>
      <c r="G97" s="308"/>
      <c r="H97" s="307"/>
      <c r="I97" s="309"/>
      <c r="J97" s="307"/>
      <c r="K97" s="288"/>
      <c r="M97" s="243"/>
      <c r="O97"/>
    </row>
    <row r="98" spans="2:15" ht="12.75" customHeight="1">
      <c r="B98" s="805" t="s">
        <v>701</v>
      </c>
      <c r="C98" s="806"/>
      <c r="D98" s="806"/>
      <c r="E98" s="806"/>
      <c r="F98" s="806"/>
      <c r="G98" s="806"/>
      <c r="H98" s="806"/>
      <c r="I98" s="807"/>
      <c r="J98" s="287"/>
      <c r="K98" s="216"/>
      <c r="O98"/>
    </row>
    <row r="99" spans="2:15" ht="12.75" customHeight="1">
      <c r="B99" s="289"/>
      <c r="C99" s="289"/>
      <c r="D99" s="289"/>
      <c r="E99" s="289"/>
      <c r="F99" s="289"/>
      <c r="G99" s="289"/>
      <c r="H99" s="289"/>
      <c r="I99" s="289"/>
      <c r="J99" s="287"/>
      <c r="K99" s="216"/>
      <c r="O99"/>
    </row>
    <row r="100" spans="2:15" ht="15">
      <c r="B100" s="805" t="s">
        <v>702</v>
      </c>
      <c r="C100" s="806"/>
      <c r="D100" s="806"/>
      <c r="E100" s="806"/>
      <c r="F100" s="806"/>
      <c r="G100" s="806"/>
      <c r="H100" s="806"/>
      <c r="I100" s="807"/>
      <c r="J100" s="287"/>
      <c r="K100" s="216"/>
      <c r="O100"/>
    </row>
    <row r="101" spans="2:15" ht="12.75" customHeight="1">
      <c r="B101" s="289"/>
      <c r="C101" s="289"/>
      <c r="D101" s="289"/>
      <c r="E101" s="289"/>
      <c r="F101" s="289"/>
      <c r="G101" s="289"/>
      <c r="H101" s="289"/>
      <c r="I101" s="289"/>
      <c r="J101" s="287"/>
      <c r="K101" s="216"/>
      <c r="O101"/>
    </row>
    <row r="102" spans="3:15" ht="12.75" customHeight="1">
      <c r="C102" s="835" t="s">
        <v>703</v>
      </c>
      <c r="D102" s="835"/>
      <c r="E102" s="310"/>
      <c r="F102" s="287"/>
      <c r="G102" s="311"/>
      <c r="H102" s="287"/>
      <c r="I102" s="312"/>
      <c r="J102" s="223"/>
      <c r="O102"/>
    </row>
    <row r="103" spans="3:15" ht="34.5" thickBot="1">
      <c r="C103" s="223"/>
      <c r="D103" s="810" t="s">
        <v>704</v>
      </c>
      <c r="E103" s="810"/>
      <c r="F103" s="810"/>
      <c r="G103" s="313" t="s">
        <v>705</v>
      </c>
      <c r="H103" s="234"/>
      <c r="I103" s="314">
        <v>10.06</v>
      </c>
      <c r="J103" s="223"/>
      <c r="K103" s="244" t="s">
        <v>666</v>
      </c>
      <c r="O103"/>
    </row>
    <row r="104" spans="3:15" ht="34.5" thickBot="1">
      <c r="C104" s="231" t="s">
        <v>706</v>
      </c>
      <c r="D104" s="810" t="s">
        <v>707</v>
      </c>
      <c r="E104" s="810"/>
      <c r="F104" s="810"/>
      <c r="G104" s="313" t="s">
        <v>705</v>
      </c>
      <c r="H104" s="234"/>
      <c r="I104" s="314">
        <v>11.24</v>
      </c>
      <c r="J104" s="223"/>
      <c r="K104" s="247">
        <v>1237835</v>
      </c>
      <c r="M104" s="248">
        <f>+K104/$K$284</f>
        <v>0.024478618071524006</v>
      </c>
      <c r="O104"/>
    </row>
    <row r="105" spans="3:15" ht="12.75" customHeight="1">
      <c r="C105" s="836" t="s">
        <v>708</v>
      </c>
      <c r="D105" s="836"/>
      <c r="E105" s="315"/>
      <c r="F105" s="307"/>
      <c r="G105" s="316"/>
      <c r="H105" s="287"/>
      <c r="I105" s="317"/>
      <c r="J105" s="223"/>
      <c r="K105" s="242"/>
      <c r="O105"/>
    </row>
    <row r="106" spans="3:15" ht="34.5" thickBot="1">
      <c r="C106" s="223"/>
      <c r="D106" s="810" t="s">
        <v>709</v>
      </c>
      <c r="E106" s="810"/>
      <c r="F106" s="810"/>
      <c r="G106" s="313" t="s">
        <v>705</v>
      </c>
      <c r="H106" s="234"/>
      <c r="I106" s="314">
        <f>+I103</f>
        <v>10.06</v>
      </c>
      <c r="J106" s="223"/>
      <c r="K106" s="244" t="s">
        <v>688</v>
      </c>
      <c r="O106"/>
    </row>
    <row r="107" spans="3:15" ht="34.5" thickBot="1">
      <c r="C107" s="223"/>
      <c r="D107" s="810" t="s">
        <v>707</v>
      </c>
      <c r="E107" s="810"/>
      <c r="F107" s="810"/>
      <c r="G107" s="313" t="s">
        <v>705</v>
      </c>
      <c r="H107" s="234"/>
      <c r="I107" s="314">
        <f>+I104</f>
        <v>11.24</v>
      </c>
      <c r="J107" s="223"/>
      <c r="K107" s="247">
        <v>228079.33333333334</v>
      </c>
      <c r="M107" s="248">
        <f>+K107/$K$286</f>
        <v>0.004591257698544958</v>
      </c>
      <c r="O107"/>
    </row>
    <row r="108" spans="3:15" ht="15">
      <c r="C108" s="223"/>
      <c r="D108" s="223"/>
      <c r="E108" s="223"/>
      <c r="F108" s="223"/>
      <c r="G108" s="318"/>
      <c r="H108" s="211"/>
      <c r="I108" s="318"/>
      <c r="J108" s="225"/>
      <c r="K108" s="319"/>
      <c r="M108" s="320"/>
      <c r="O108"/>
    </row>
    <row r="109" spans="2:15" ht="15">
      <c r="B109" s="805" t="s">
        <v>710</v>
      </c>
      <c r="C109" s="806"/>
      <c r="D109" s="806"/>
      <c r="E109" s="806"/>
      <c r="F109" s="806"/>
      <c r="G109" s="806"/>
      <c r="H109" s="806"/>
      <c r="I109" s="807"/>
      <c r="J109" s="225"/>
      <c r="K109" s="319"/>
      <c r="M109" s="320"/>
      <c r="O109"/>
    </row>
    <row r="110" spans="3:15" ht="12.75" customHeight="1">
      <c r="C110" s="223"/>
      <c r="D110" s="223"/>
      <c r="E110" s="223"/>
      <c r="F110" s="223"/>
      <c r="G110" s="318"/>
      <c r="H110" s="211"/>
      <c r="I110" s="318"/>
      <c r="J110" s="225"/>
      <c r="K110" s="319"/>
      <c r="M110" s="320"/>
      <c r="O110"/>
    </row>
    <row r="111" spans="3:15" ht="12.75" customHeight="1">
      <c r="C111" s="835" t="s">
        <v>711</v>
      </c>
      <c r="D111" s="835"/>
      <c r="E111" s="310"/>
      <c r="F111" s="287"/>
      <c r="G111" s="311"/>
      <c r="H111" s="287"/>
      <c r="I111" s="312"/>
      <c r="J111" s="223"/>
      <c r="O111"/>
    </row>
    <row r="112" spans="1:15" ht="12.75" customHeight="1">
      <c r="A112" t="s">
        <v>712</v>
      </c>
      <c r="C112" s="310"/>
      <c r="D112" s="843" t="s">
        <v>713</v>
      </c>
      <c r="E112" s="843"/>
      <c r="F112" s="844"/>
      <c r="G112" s="321" t="s">
        <v>714</v>
      </c>
      <c r="H112" s="234"/>
      <c r="I112" s="314">
        <v>126.41</v>
      </c>
      <c r="J112" s="223"/>
      <c r="O112"/>
    </row>
    <row r="113" spans="1:15" ht="12.75" customHeight="1">
      <c r="A113" t="s">
        <v>715</v>
      </c>
      <c r="C113" s="322" t="s">
        <v>716</v>
      </c>
      <c r="D113" s="843" t="s">
        <v>717</v>
      </c>
      <c r="E113" s="843"/>
      <c r="F113" s="844"/>
      <c r="G113" s="321" t="s">
        <v>718</v>
      </c>
      <c r="H113" s="234"/>
      <c r="I113" s="314">
        <v>72.53</v>
      </c>
      <c r="J113" s="223"/>
      <c r="O113"/>
    </row>
    <row r="114" spans="1:15" ht="12.75" customHeight="1">
      <c r="A114" t="s">
        <v>715</v>
      </c>
      <c r="C114" s="322" t="s">
        <v>716</v>
      </c>
      <c r="D114" s="843" t="s">
        <v>717</v>
      </c>
      <c r="E114" s="843"/>
      <c r="F114" s="844"/>
      <c r="G114" s="321" t="s">
        <v>719</v>
      </c>
      <c r="H114" s="234"/>
      <c r="I114" s="314">
        <v>18.02</v>
      </c>
      <c r="J114" s="223"/>
      <c r="O114"/>
    </row>
    <row r="115" spans="1:15" ht="12.75" customHeight="1">
      <c r="A115" t="s">
        <v>715</v>
      </c>
      <c r="C115" s="323" t="s">
        <v>720</v>
      </c>
      <c r="D115" s="843" t="s">
        <v>721</v>
      </c>
      <c r="E115" s="843"/>
      <c r="F115" s="844"/>
      <c r="G115" s="321" t="s">
        <v>722</v>
      </c>
      <c r="H115" s="234"/>
      <c r="I115" s="314">
        <v>72.53</v>
      </c>
      <c r="J115" s="223"/>
      <c r="O115"/>
    </row>
    <row r="116" spans="1:15" ht="12.75" customHeight="1">
      <c r="A116" t="s">
        <v>715</v>
      </c>
      <c r="C116" s="323" t="s">
        <v>720</v>
      </c>
      <c r="D116" s="843" t="s">
        <v>721</v>
      </c>
      <c r="E116" s="843"/>
      <c r="F116" s="844"/>
      <c r="G116" s="321" t="s">
        <v>723</v>
      </c>
      <c r="H116" s="234"/>
      <c r="I116" s="314">
        <v>30.58</v>
      </c>
      <c r="J116" s="223"/>
      <c r="O116"/>
    </row>
    <row r="117" spans="1:15" ht="12.75" customHeight="1">
      <c r="A117" t="s">
        <v>724</v>
      </c>
      <c r="C117" s="322" t="s">
        <v>716</v>
      </c>
      <c r="D117" s="843" t="s">
        <v>717</v>
      </c>
      <c r="E117" s="843"/>
      <c r="F117" s="844"/>
      <c r="G117" s="321" t="s">
        <v>718</v>
      </c>
      <c r="H117" s="234"/>
      <c r="I117" s="314">
        <v>829.36</v>
      </c>
      <c r="J117" s="223"/>
      <c r="O117"/>
    </row>
    <row r="118" spans="1:15" ht="12.75" customHeight="1">
      <c r="A118" t="s">
        <v>725</v>
      </c>
      <c r="C118" s="322" t="s">
        <v>716</v>
      </c>
      <c r="D118" s="843" t="s">
        <v>717</v>
      </c>
      <c r="E118" s="843"/>
      <c r="F118" s="844"/>
      <c r="G118" s="321" t="s">
        <v>719</v>
      </c>
      <c r="H118" s="234"/>
      <c r="I118" s="314">
        <v>206.01</v>
      </c>
      <c r="J118" s="223"/>
      <c r="O118"/>
    </row>
    <row r="119" spans="1:15" ht="12.75" customHeight="1" thickBot="1">
      <c r="A119" t="s">
        <v>724</v>
      </c>
      <c r="C119" s="323" t="s">
        <v>720</v>
      </c>
      <c r="D119" s="843" t="s">
        <v>721</v>
      </c>
      <c r="E119" s="843"/>
      <c r="F119" s="844"/>
      <c r="G119" s="321" t="s">
        <v>722</v>
      </c>
      <c r="H119" s="234"/>
      <c r="I119" s="314">
        <v>829.36</v>
      </c>
      <c r="J119" s="223"/>
      <c r="K119" s="244" t="s">
        <v>666</v>
      </c>
      <c r="O119"/>
    </row>
    <row r="120" spans="1:15" ht="12.75" customHeight="1" thickBot="1">
      <c r="A120" t="s">
        <v>725</v>
      </c>
      <c r="C120" s="323" t="s">
        <v>720</v>
      </c>
      <c r="D120" s="843" t="s">
        <v>721</v>
      </c>
      <c r="E120" s="843"/>
      <c r="F120" s="844"/>
      <c r="G120" s="321" t="s">
        <v>723</v>
      </c>
      <c r="H120" s="234"/>
      <c r="I120" s="314">
        <v>349.7</v>
      </c>
      <c r="J120" s="223"/>
      <c r="K120" s="247">
        <v>1336480</v>
      </c>
      <c r="M120" s="248">
        <f>+K120/$K$284</f>
        <v>0.026429357289324027</v>
      </c>
      <c r="O120"/>
    </row>
    <row r="121" spans="3:15" ht="12.75" customHeight="1">
      <c r="C121" s="836" t="s">
        <v>37</v>
      </c>
      <c r="D121" s="836"/>
      <c r="E121" s="315"/>
      <c r="F121" s="307"/>
      <c r="G121" s="311"/>
      <c r="H121" s="287"/>
      <c r="I121" s="317"/>
      <c r="J121" s="223"/>
      <c r="K121" s="242"/>
      <c r="O121"/>
    </row>
    <row r="122" spans="1:15" ht="12.75" customHeight="1">
      <c r="A122" t="s">
        <v>712</v>
      </c>
      <c r="C122" s="310"/>
      <c r="D122" s="843" t="s">
        <v>713</v>
      </c>
      <c r="E122" s="843"/>
      <c r="F122" s="844"/>
      <c r="G122" s="321" t="s">
        <v>714</v>
      </c>
      <c r="H122" s="234"/>
      <c r="I122" s="314">
        <v>295.51</v>
      </c>
      <c r="J122" s="223"/>
      <c r="K122" s="242"/>
      <c r="O122"/>
    </row>
    <row r="123" spans="1:15" ht="12.75" customHeight="1">
      <c r="A123" t="s">
        <v>715</v>
      </c>
      <c r="C123" s="324" t="s">
        <v>726</v>
      </c>
      <c r="D123" s="843" t="s">
        <v>727</v>
      </c>
      <c r="E123" s="843"/>
      <c r="F123" s="844"/>
      <c r="G123" s="321" t="s">
        <v>728</v>
      </c>
      <c r="H123" s="234"/>
      <c r="I123" s="314">
        <v>113.34</v>
      </c>
      <c r="J123" s="223"/>
      <c r="K123" s="242"/>
      <c r="O123"/>
    </row>
    <row r="124" spans="1:15" ht="12.75" customHeight="1">
      <c r="A124" t="s">
        <v>715</v>
      </c>
      <c r="C124" s="324" t="s">
        <v>726</v>
      </c>
      <c r="D124" s="843" t="s">
        <v>727</v>
      </c>
      <c r="E124" s="843"/>
      <c r="F124" s="844"/>
      <c r="G124" s="321" t="s">
        <v>729</v>
      </c>
      <c r="H124" s="234"/>
      <c r="I124" s="314">
        <v>20.88</v>
      </c>
      <c r="J124" s="223"/>
      <c r="K124" s="242"/>
      <c r="O124"/>
    </row>
    <row r="125" spans="1:15" ht="12.75" customHeight="1">
      <c r="A125" t="s">
        <v>730</v>
      </c>
      <c r="C125" s="324" t="s">
        <v>726</v>
      </c>
      <c r="D125" s="843" t="s">
        <v>727</v>
      </c>
      <c r="E125" s="843"/>
      <c r="F125" s="844"/>
      <c r="G125" s="321" t="s">
        <v>728</v>
      </c>
      <c r="H125" s="234"/>
      <c r="I125" s="314">
        <v>444.89</v>
      </c>
      <c r="J125" s="223"/>
      <c r="K125" s="242"/>
      <c r="O125"/>
    </row>
    <row r="126" spans="1:15" ht="12.75" customHeight="1">
      <c r="A126" t="s">
        <v>730</v>
      </c>
      <c r="C126" s="324" t="s">
        <v>726</v>
      </c>
      <c r="D126" s="843" t="s">
        <v>727</v>
      </c>
      <c r="E126" s="843"/>
      <c r="F126" s="844"/>
      <c r="G126" s="321" t="s">
        <v>729</v>
      </c>
      <c r="H126" s="234"/>
      <c r="I126" s="314">
        <v>81.95</v>
      </c>
      <c r="J126" s="223"/>
      <c r="O126"/>
    </row>
    <row r="127" spans="1:15" ht="12.75" customHeight="1" thickBot="1">
      <c r="A127" t="s">
        <v>724</v>
      </c>
      <c r="C127" s="324" t="s">
        <v>726</v>
      </c>
      <c r="D127" s="843" t="s">
        <v>727</v>
      </c>
      <c r="E127" s="843"/>
      <c r="F127" s="844"/>
      <c r="G127" s="321" t="s">
        <v>728</v>
      </c>
      <c r="H127" s="234"/>
      <c r="I127" s="314">
        <v>922.09</v>
      </c>
      <c r="J127" s="223"/>
      <c r="K127" s="244" t="s">
        <v>688</v>
      </c>
      <c r="O127"/>
    </row>
    <row r="128" spans="1:15" ht="12.75" customHeight="1" thickBot="1">
      <c r="A128" t="s">
        <v>725</v>
      </c>
      <c r="C128" s="324" t="s">
        <v>726</v>
      </c>
      <c r="D128" s="843" t="s">
        <v>727</v>
      </c>
      <c r="E128" s="843"/>
      <c r="F128" s="844"/>
      <c r="G128" s="321" t="s">
        <v>729</v>
      </c>
      <c r="H128" s="234"/>
      <c r="I128" s="314">
        <v>169.85</v>
      </c>
      <c r="J128" s="223"/>
      <c r="K128" s="247">
        <v>1924651.583333333</v>
      </c>
      <c r="M128" s="248">
        <f>+K128/$K$286</f>
        <v>0.03874341120631669</v>
      </c>
      <c r="O128"/>
    </row>
    <row r="129" spans="3:15" ht="12.75" customHeight="1">
      <c r="C129" s="223"/>
      <c r="D129" s="223"/>
      <c r="E129" s="223"/>
      <c r="F129" s="223"/>
      <c r="J129" s="223"/>
      <c r="K129" s="288"/>
      <c r="O129"/>
    </row>
    <row r="130" spans="2:15" ht="12.75" customHeight="1">
      <c r="B130" s="802" t="s">
        <v>667</v>
      </c>
      <c r="C130" s="803"/>
      <c r="D130" s="803"/>
      <c r="E130" s="803"/>
      <c r="F130" s="803"/>
      <c r="G130" s="803"/>
      <c r="H130" s="803"/>
      <c r="I130" s="803"/>
      <c r="J130" s="249"/>
      <c r="K130" s="242"/>
      <c r="M130" s="243"/>
      <c r="O130"/>
    </row>
    <row r="131" spans="2:15" ht="56.25" customHeight="1">
      <c r="B131" s="799" t="s">
        <v>731</v>
      </c>
      <c r="C131" s="799"/>
      <c r="D131" s="799"/>
      <c r="E131" s="799"/>
      <c r="F131" s="799"/>
      <c r="G131" s="799"/>
      <c r="H131" s="799"/>
      <c r="I131" s="799"/>
      <c r="J131" s="250"/>
      <c r="K131" s="242"/>
      <c r="M131" s="243"/>
      <c r="O131"/>
    </row>
    <row r="132" spans="2:15" ht="66.75" customHeight="1">
      <c r="B132" s="799" t="s">
        <v>732</v>
      </c>
      <c r="C132" s="799"/>
      <c r="D132" s="799"/>
      <c r="E132" s="799"/>
      <c r="F132" s="799"/>
      <c r="G132" s="799"/>
      <c r="H132" s="799"/>
      <c r="I132" s="799"/>
      <c r="J132" s="250"/>
      <c r="K132" s="242"/>
      <c r="M132" s="243"/>
      <c r="O132"/>
    </row>
    <row r="133" spans="2:15" ht="57" customHeight="1">
      <c r="B133" s="799" t="s">
        <v>733</v>
      </c>
      <c r="C133" s="799"/>
      <c r="D133" s="799"/>
      <c r="E133" s="799"/>
      <c r="F133" s="799"/>
      <c r="G133" s="799"/>
      <c r="H133" s="799"/>
      <c r="I133" s="799"/>
      <c r="J133" s="250"/>
      <c r="K133" s="242"/>
      <c r="M133" s="243"/>
      <c r="O133"/>
    </row>
    <row r="134" spans="2:15" ht="29.25" customHeight="1">
      <c r="B134" s="799" t="s">
        <v>734</v>
      </c>
      <c r="C134" s="799"/>
      <c r="D134" s="799"/>
      <c r="E134" s="799"/>
      <c r="F134" s="799"/>
      <c r="G134" s="799"/>
      <c r="H134" s="799"/>
      <c r="I134" s="799"/>
      <c r="J134" s="250"/>
      <c r="K134" s="242"/>
      <c r="M134" s="243"/>
      <c r="O134"/>
    </row>
    <row r="135" spans="2:15" ht="12.75" customHeight="1">
      <c r="B135" s="177"/>
      <c r="C135" s="307"/>
      <c r="D135" s="307"/>
      <c r="E135" s="307"/>
      <c r="F135" s="307"/>
      <c r="G135" s="308"/>
      <c r="H135" s="307"/>
      <c r="I135" s="309"/>
      <c r="J135" s="307"/>
      <c r="K135" s="288"/>
      <c r="M135" s="243"/>
      <c r="O135"/>
    </row>
    <row r="136" spans="2:13" s="214" customFormat="1" ht="12.75" customHeight="1">
      <c r="B136" s="805" t="s">
        <v>735</v>
      </c>
      <c r="C136" s="806"/>
      <c r="D136" s="806"/>
      <c r="E136" s="806"/>
      <c r="F136" s="806"/>
      <c r="G136" s="806"/>
      <c r="H136" s="806"/>
      <c r="I136" s="807"/>
      <c r="J136" s="325"/>
      <c r="K136" s="216"/>
      <c r="M136" s="216"/>
    </row>
    <row r="137" spans="2:13" s="214" customFormat="1" ht="12.75" customHeight="1">
      <c r="B137" s="289"/>
      <c r="C137" s="289"/>
      <c r="D137" s="289"/>
      <c r="E137" s="289"/>
      <c r="F137" s="289"/>
      <c r="G137" s="289"/>
      <c r="H137" s="289"/>
      <c r="I137" s="289"/>
      <c r="J137" s="325"/>
      <c r="K137" s="216"/>
      <c r="M137" s="216"/>
    </row>
    <row r="138" spans="2:13" s="214" customFormat="1" ht="27.75" customHeight="1">
      <c r="B138" s="805" t="s">
        <v>736</v>
      </c>
      <c r="C138" s="806"/>
      <c r="D138" s="806"/>
      <c r="E138" s="806"/>
      <c r="F138" s="806"/>
      <c r="G138" s="806"/>
      <c r="H138" s="806"/>
      <c r="I138" s="807"/>
      <c r="J138" s="325"/>
      <c r="K138" s="216"/>
      <c r="M138" s="216"/>
    </row>
    <row r="139" spans="2:13" s="214" customFormat="1" ht="12.75" customHeight="1">
      <c r="B139" s="289"/>
      <c r="C139" s="289"/>
      <c r="D139" s="289"/>
      <c r="E139" s="289"/>
      <c r="F139" s="289"/>
      <c r="G139" s="289"/>
      <c r="H139" s="289"/>
      <c r="I139" s="289"/>
      <c r="J139" s="325"/>
      <c r="K139" s="216"/>
      <c r="M139" s="216"/>
    </row>
    <row r="140" spans="3:15" ht="12.75" customHeight="1">
      <c r="C140" s="835" t="s">
        <v>36</v>
      </c>
      <c r="D140" s="835"/>
      <c r="E140" s="310"/>
      <c r="F140" s="307"/>
      <c r="I140" s="271"/>
      <c r="J140" s="223"/>
      <c r="O140"/>
    </row>
    <row r="141" spans="3:15" ht="12.75" customHeight="1" thickBot="1">
      <c r="C141" s="223"/>
      <c r="D141" s="838"/>
      <c r="E141" s="838"/>
      <c r="F141" s="838"/>
      <c r="G141" s="233"/>
      <c r="H141" s="234"/>
      <c r="I141" s="241"/>
      <c r="J141" s="223"/>
      <c r="K141" s="244" t="s">
        <v>666</v>
      </c>
      <c r="O141"/>
    </row>
    <row r="142" spans="3:15" ht="12.75" customHeight="1" thickBot="1">
      <c r="C142" s="222"/>
      <c r="D142" s="838"/>
      <c r="E142" s="838"/>
      <c r="F142" s="838"/>
      <c r="G142" s="233"/>
      <c r="H142" s="234"/>
      <c r="I142" s="241"/>
      <c r="J142" s="223"/>
      <c r="K142" s="247">
        <v>0</v>
      </c>
      <c r="M142" s="248">
        <f>+K142/$K$284</f>
        <v>0</v>
      </c>
      <c r="O142"/>
    </row>
    <row r="143" spans="3:15" ht="12.75" customHeight="1">
      <c r="C143" s="836" t="s">
        <v>737</v>
      </c>
      <c r="D143" s="836"/>
      <c r="E143" s="315"/>
      <c r="F143" s="287"/>
      <c r="G143" s="326"/>
      <c r="H143" s="287"/>
      <c r="I143" s="312"/>
      <c r="J143" s="223"/>
      <c r="O143"/>
    </row>
    <row r="144" spans="3:15" ht="12.75" customHeight="1" thickBot="1">
      <c r="C144" s="223"/>
      <c r="D144" s="838"/>
      <c r="E144" s="838"/>
      <c r="F144" s="838"/>
      <c r="G144" s="327"/>
      <c r="H144" s="234"/>
      <c r="I144" s="241"/>
      <c r="J144" s="223"/>
      <c r="K144" s="256" t="s">
        <v>688</v>
      </c>
      <c r="O144"/>
    </row>
    <row r="145" spans="3:15" ht="12.75" customHeight="1" thickBot="1">
      <c r="C145" s="223"/>
      <c r="D145" s="838"/>
      <c r="E145" s="838"/>
      <c r="F145" s="838"/>
      <c r="G145" s="327"/>
      <c r="H145" s="234"/>
      <c r="I145" s="241"/>
      <c r="J145" s="223"/>
      <c r="K145" s="247">
        <v>0</v>
      </c>
      <c r="M145" s="248">
        <f>+K145/$K$286</f>
        <v>0</v>
      </c>
      <c r="O145"/>
    </row>
    <row r="146" spans="3:15" ht="12.75" customHeight="1">
      <c r="C146" s="223"/>
      <c r="D146" s="223"/>
      <c r="E146" s="223"/>
      <c r="F146" s="223"/>
      <c r="G146" s="328"/>
      <c r="H146" s="211"/>
      <c r="I146" s="318"/>
      <c r="J146" s="211"/>
      <c r="K146" s="319"/>
      <c r="M146" s="320"/>
      <c r="O146"/>
    </row>
    <row r="147" spans="2:15" ht="12.75" customHeight="1">
      <c r="B147" s="805" t="s">
        <v>738</v>
      </c>
      <c r="C147" s="806"/>
      <c r="D147" s="806"/>
      <c r="E147" s="806"/>
      <c r="F147" s="806"/>
      <c r="G147" s="806"/>
      <c r="H147" s="806"/>
      <c r="I147" s="807"/>
      <c r="J147" s="211"/>
      <c r="K147" s="319"/>
      <c r="M147" s="320"/>
      <c r="O147"/>
    </row>
    <row r="148" spans="3:15" ht="12.75" customHeight="1">
      <c r="C148" s="223"/>
      <c r="D148" s="223"/>
      <c r="E148" s="223"/>
      <c r="F148" s="223"/>
      <c r="G148" s="328"/>
      <c r="H148" s="211"/>
      <c r="I148" s="318"/>
      <c r="J148" s="211"/>
      <c r="K148" s="319"/>
      <c r="M148" s="320"/>
      <c r="O148"/>
    </row>
    <row r="149" spans="3:15" ht="12.75" customHeight="1">
      <c r="C149" s="835" t="s">
        <v>36</v>
      </c>
      <c r="D149" s="835"/>
      <c r="E149" s="310"/>
      <c r="F149" s="307"/>
      <c r="I149" s="271"/>
      <c r="J149" s="223"/>
      <c r="O149"/>
    </row>
    <row r="150" spans="3:15" ht="12.75" customHeight="1" thickBot="1">
      <c r="C150" s="223"/>
      <c r="D150" s="838"/>
      <c r="E150" s="838"/>
      <c r="F150" s="838"/>
      <c r="G150" s="233"/>
      <c r="H150" s="234"/>
      <c r="I150" s="241"/>
      <c r="J150" s="223"/>
      <c r="K150" s="244" t="s">
        <v>666</v>
      </c>
      <c r="O150"/>
    </row>
    <row r="151" spans="3:15" ht="12.75" customHeight="1" thickBot="1">
      <c r="C151" s="222"/>
      <c r="D151" s="838"/>
      <c r="E151" s="838"/>
      <c r="F151" s="838"/>
      <c r="G151" s="233"/>
      <c r="H151" s="234"/>
      <c r="I151" s="241"/>
      <c r="J151" s="223"/>
      <c r="K151" s="247">
        <v>390953</v>
      </c>
      <c r="M151" s="248">
        <f>+K151/$K$284</f>
        <v>0.007731231683476817</v>
      </c>
      <c r="O151"/>
    </row>
    <row r="152" spans="3:15" ht="12.75" customHeight="1">
      <c r="C152" s="836" t="s">
        <v>737</v>
      </c>
      <c r="D152" s="836"/>
      <c r="E152" s="315"/>
      <c r="F152" s="287"/>
      <c r="G152" s="326"/>
      <c r="H152" s="287"/>
      <c r="I152" s="312"/>
      <c r="J152" s="223"/>
      <c r="O152"/>
    </row>
    <row r="153" spans="3:15" ht="12.75" customHeight="1" thickBot="1">
      <c r="C153" s="223"/>
      <c r="D153" s="838"/>
      <c r="E153" s="838"/>
      <c r="F153" s="838"/>
      <c r="G153" s="327"/>
      <c r="H153" s="234"/>
      <c r="I153" s="241"/>
      <c r="J153" s="223"/>
      <c r="K153" s="256" t="s">
        <v>688</v>
      </c>
      <c r="O153"/>
    </row>
    <row r="154" spans="3:15" ht="12.75" customHeight="1" thickBot="1">
      <c r="C154" s="223"/>
      <c r="D154" s="838"/>
      <c r="E154" s="838"/>
      <c r="F154" s="838"/>
      <c r="G154" s="327"/>
      <c r="H154" s="234"/>
      <c r="I154" s="241"/>
      <c r="J154" s="223"/>
      <c r="K154" s="247">
        <v>891766</v>
      </c>
      <c r="M154" s="248">
        <f>+K154/$K$286</f>
        <v>0.01795133058731308</v>
      </c>
      <c r="O154"/>
    </row>
    <row r="155" spans="3:15" ht="12.75" customHeight="1">
      <c r="C155" s="223"/>
      <c r="D155" s="223"/>
      <c r="E155" s="223"/>
      <c r="F155" s="223"/>
      <c r="G155" s="329"/>
      <c r="H155" s="211"/>
      <c r="I155" s="330"/>
      <c r="J155" s="225"/>
      <c r="K155" s="319"/>
      <c r="M155" s="320"/>
      <c r="O155"/>
    </row>
    <row r="156" spans="2:15" ht="12.75" customHeight="1">
      <c r="B156" s="802" t="s">
        <v>667</v>
      </c>
      <c r="C156" s="803"/>
      <c r="D156" s="803"/>
      <c r="E156" s="803"/>
      <c r="F156" s="803"/>
      <c r="G156" s="803"/>
      <c r="H156" s="803"/>
      <c r="I156" s="803"/>
      <c r="J156" s="249"/>
      <c r="K156" s="242"/>
      <c r="M156" s="243"/>
      <c r="O156"/>
    </row>
    <row r="157" spans="2:15" ht="12.75" customHeight="1">
      <c r="B157" s="799" t="s">
        <v>739</v>
      </c>
      <c r="C157" s="799"/>
      <c r="D157" s="799"/>
      <c r="E157" s="799"/>
      <c r="F157" s="799"/>
      <c r="G157" s="799"/>
      <c r="H157" s="799"/>
      <c r="I157" s="799"/>
      <c r="J157" s="250"/>
      <c r="K157" s="242"/>
      <c r="M157" s="243"/>
      <c r="O157"/>
    </row>
    <row r="158" spans="2:15" ht="33" customHeight="1">
      <c r="B158" s="799" t="s">
        <v>740</v>
      </c>
      <c r="C158" s="799"/>
      <c r="D158" s="799"/>
      <c r="E158" s="799"/>
      <c r="F158" s="799"/>
      <c r="G158" s="799"/>
      <c r="H158" s="799"/>
      <c r="I158" s="799"/>
      <c r="J158" s="250"/>
      <c r="K158" s="242"/>
      <c r="M158" s="243"/>
      <c r="O158"/>
    </row>
    <row r="159" spans="2:15" ht="12.75" customHeight="1">
      <c r="B159" s="799"/>
      <c r="C159" s="799"/>
      <c r="D159" s="799"/>
      <c r="E159" s="799"/>
      <c r="F159" s="799"/>
      <c r="G159" s="799"/>
      <c r="H159" s="799"/>
      <c r="I159" s="799"/>
      <c r="J159" s="250"/>
      <c r="K159" s="242"/>
      <c r="M159" s="243"/>
      <c r="O159"/>
    </row>
    <row r="160" spans="3:15" ht="12.75" customHeight="1">
      <c r="C160" s="223"/>
      <c r="D160" s="223"/>
      <c r="E160" s="223"/>
      <c r="F160" s="223"/>
      <c r="J160" s="223"/>
      <c r="O160"/>
    </row>
    <row r="161" spans="3:15" ht="12.75" customHeight="1" thickBot="1">
      <c r="C161" s="251"/>
      <c r="D161" s="251"/>
      <c r="E161" s="251"/>
      <c r="K161" s="331"/>
      <c r="O161"/>
    </row>
    <row r="162" spans="2:15" ht="15.75" customHeight="1" thickBot="1">
      <c r="B162" s="840" t="s">
        <v>741</v>
      </c>
      <c r="C162" s="841"/>
      <c r="D162" s="841"/>
      <c r="E162" s="841"/>
      <c r="F162" s="841"/>
      <c r="G162" s="841"/>
      <c r="H162" s="841"/>
      <c r="I162" s="842"/>
      <c r="O162"/>
    </row>
    <row r="163" spans="3:15" ht="12.75" customHeight="1">
      <c r="C163" s="251"/>
      <c r="D163" s="251"/>
      <c r="E163" s="251"/>
      <c r="O163"/>
    </row>
    <row r="164" spans="2:15" ht="12.75" customHeight="1">
      <c r="B164" s="821" t="s">
        <v>742</v>
      </c>
      <c r="C164" s="822"/>
      <c r="D164" s="822"/>
      <c r="E164" s="822"/>
      <c r="F164" s="822"/>
      <c r="G164" s="822"/>
      <c r="H164" s="822"/>
      <c r="I164" s="823"/>
      <c r="J164" s="287"/>
      <c r="K164" s="216"/>
      <c r="O164"/>
    </row>
    <row r="165" spans="3:15" ht="12.75" customHeight="1">
      <c r="C165" s="835" t="s">
        <v>36</v>
      </c>
      <c r="D165" s="835"/>
      <c r="E165" s="310"/>
      <c r="F165" s="287"/>
      <c r="G165" s="311"/>
      <c r="H165" s="287"/>
      <c r="I165" s="312"/>
      <c r="J165" s="223"/>
      <c r="O165"/>
    </row>
    <row r="166" spans="3:15" ht="12.75" customHeight="1">
      <c r="C166" s="223"/>
      <c r="D166" s="838"/>
      <c r="E166" s="838"/>
      <c r="F166" s="839"/>
      <c r="G166" s="327"/>
      <c r="H166" s="234"/>
      <c r="I166" s="241"/>
      <c r="J166" s="223"/>
      <c r="O166"/>
    </row>
    <row r="167" spans="3:15" ht="12.75" customHeight="1" thickBot="1">
      <c r="C167" s="223"/>
      <c r="D167" s="838"/>
      <c r="E167" s="838"/>
      <c r="F167" s="839"/>
      <c r="G167" s="327"/>
      <c r="H167" s="234"/>
      <c r="I167" s="241"/>
      <c r="J167" s="223"/>
      <c r="K167" s="244" t="s">
        <v>666</v>
      </c>
      <c r="M167" s="243"/>
      <c r="O167"/>
    </row>
    <row r="168" spans="3:15" ht="12.75" customHeight="1" thickBot="1">
      <c r="C168" s="231" t="s">
        <v>706</v>
      </c>
      <c r="D168" s="838"/>
      <c r="E168" s="838"/>
      <c r="F168" s="839"/>
      <c r="G168" s="327"/>
      <c r="H168" s="234"/>
      <c r="I168" s="241"/>
      <c r="J168" s="223"/>
      <c r="K168" s="247">
        <v>0</v>
      </c>
      <c r="M168" s="243"/>
      <c r="O168"/>
    </row>
    <row r="169" spans="3:15" ht="12.75" customHeight="1">
      <c r="C169" s="836" t="s">
        <v>37</v>
      </c>
      <c r="D169" s="836"/>
      <c r="E169" s="315"/>
      <c r="F169" s="307"/>
      <c r="G169" s="311"/>
      <c r="H169" s="287"/>
      <c r="I169" s="312"/>
      <c r="J169" s="223"/>
      <c r="M169" s="243"/>
      <c r="O169"/>
    </row>
    <row r="170" spans="3:15" ht="12.75" customHeight="1">
      <c r="C170" s="231" t="s">
        <v>706</v>
      </c>
      <c r="D170" s="838"/>
      <c r="E170" s="838"/>
      <c r="F170" s="839"/>
      <c r="G170" s="327"/>
      <c r="H170" s="234"/>
      <c r="I170" s="241"/>
      <c r="J170" s="223"/>
      <c r="M170" s="243"/>
      <c r="O170"/>
    </row>
    <row r="171" spans="3:15" ht="12.75" customHeight="1" thickBot="1">
      <c r="C171" s="223"/>
      <c r="D171" s="838"/>
      <c r="E171" s="838"/>
      <c r="F171" s="839"/>
      <c r="G171" s="327"/>
      <c r="H171" s="234"/>
      <c r="I171" s="241"/>
      <c r="J171" s="223"/>
      <c r="K171" s="256" t="s">
        <v>688</v>
      </c>
      <c r="M171" s="243"/>
      <c r="O171"/>
    </row>
    <row r="172" spans="3:15" ht="12.75" customHeight="1" thickBot="1">
      <c r="C172" s="223"/>
      <c r="D172" s="838"/>
      <c r="E172" s="838"/>
      <c r="F172" s="839"/>
      <c r="G172" s="327"/>
      <c r="H172" s="234"/>
      <c r="I172" s="241"/>
      <c r="J172" s="223"/>
      <c r="K172" s="247">
        <v>0</v>
      </c>
      <c r="M172" s="243"/>
      <c r="O172"/>
    </row>
    <row r="173" spans="3:15" ht="12.75" customHeight="1">
      <c r="C173" s="223"/>
      <c r="D173" s="223"/>
      <c r="E173" s="223"/>
      <c r="F173" s="223"/>
      <c r="J173" s="223"/>
      <c r="K173" s="288"/>
      <c r="L173" s="162"/>
      <c r="M173" s="332"/>
      <c r="N173" s="162"/>
      <c r="O173"/>
    </row>
    <row r="174" spans="2:15" ht="12.75" customHeight="1">
      <c r="B174" s="802" t="s">
        <v>667</v>
      </c>
      <c r="C174" s="803"/>
      <c r="D174" s="803"/>
      <c r="E174" s="803"/>
      <c r="F174" s="803"/>
      <c r="G174" s="803"/>
      <c r="H174" s="803"/>
      <c r="I174" s="803"/>
      <c r="J174" s="249"/>
      <c r="K174" s="242"/>
      <c r="M174" s="243"/>
      <c r="O174"/>
    </row>
    <row r="175" spans="2:15" ht="30.75" customHeight="1">
      <c r="B175" s="799" t="s">
        <v>743</v>
      </c>
      <c r="C175" s="799"/>
      <c r="D175" s="799"/>
      <c r="E175" s="799"/>
      <c r="F175" s="799"/>
      <c r="G175" s="799"/>
      <c r="H175" s="799"/>
      <c r="I175" s="799"/>
      <c r="J175" s="250"/>
      <c r="K175" s="242"/>
      <c r="M175" s="243"/>
      <c r="O175"/>
    </row>
    <row r="176" spans="3:15" ht="12.75" customHeight="1">
      <c r="C176" s="251"/>
      <c r="D176" s="251"/>
      <c r="E176" s="251"/>
      <c r="O176"/>
    </row>
    <row r="177" spans="2:15" ht="12.75" customHeight="1">
      <c r="B177" s="805" t="s">
        <v>744</v>
      </c>
      <c r="C177" s="806"/>
      <c r="D177" s="806"/>
      <c r="E177" s="806"/>
      <c r="F177" s="806"/>
      <c r="G177" s="806"/>
      <c r="H177" s="806"/>
      <c r="I177" s="807"/>
      <c r="J177" s="287"/>
      <c r="K177" s="216"/>
      <c r="O177"/>
    </row>
    <row r="178" spans="2:15" ht="12.75" customHeight="1">
      <c r="B178" s="289"/>
      <c r="C178" s="333"/>
      <c r="D178" s="333"/>
      <c r="E178" s="289"/>
      <c r="F178" s="289"/>
      <c r="G178" s="289"/>
      <c r="H178" s="289"/>
      <c r="I178" s="289"/>
      <c r="J178" s="287"/>
      <c r="K178" s="265"/>
      <c r="O178"/>
    </row>
    <row r="179" spans="3:15" ht="12.75" customHeight="1">
      <c r="C179" s="835" t="s">
        <v>36</v>
      </c>
      <c r="D179" s="835"/>
      <c r="E179" s="310"/>
      <c r="F179" s="287"/>
      <c r="G179" s="311"/>
      <c r="H179" s="287"/>
      <c r="I179" s="312"/>
      <c r="J179" s="223"/>
      <c r="O179"/>
    </row>
    <row r="180" spans="3:15" ht="12.75" customHeight="1" thickBot="1">
      <c r="C180" s="223"/>
      <c r="D180" s="838"/>
      <c r="E180" s="838"/>
      <c r="F180" s="839"/>
      <c r="G180" s="327"/>
      <c r="H180" s="234"/>
      <c r="I180" s="241"/>
      <c r="J180" s="223"/>
      <c r="K180" s="244" t="s">
        <v>666</v>
      </c>
      <c r="O180"/>
    </row>
    <row r="181" spans="3:15" ht="12.75" customHeight="1" thickBot="1">
      <c r="C181" s="223"/>
      <c r="D181" s="838"/>
      <c r="E181" s="838"/>
      <c r="F181" s="839"/>
      <c r="G181" s="327"/>
      <c r="H181" s="234"/>
      <c r="I181" s="241"/>
      <c r="J181" s="223"/>
      <c r="K181" s="247">
        <v>0</v>
      </c>
      <c r="O181"/>
    </row>
    <row r="182" spans="3:15" ht="12.75" customHeight="1">
      <c r="C182" s="836" t="s">
        <v>37</v>
      </c>
      <c r="D182" s="836"/>
      <c r="E182" s="315"/>
      <c r="F182" s="307"/>
      <c r="G182" s="311"/>
      <c r="H182" s="287"/>
      <c r="I182" s="312"/>
      <c r="J182" s="223"/>
      <c r="O182"/>
    </row>
    <row r="183" spans="3:15" ht="12.75" customHeight="1" thickBot="1">
      <c r="C183" s="315"/>
      <c r="D183" s="838"/>
      <c r="E183" s="838"/>
      <c r="F183" s="839"/>
      <c r="G183" s="327"/>
      <c r="H183" s="287"/>
      <c r="I183" s="258"/>
      <c r="J183" s="223"/>
      <c r="K183" s="256" t="s">
        <v>688</v>
      </c>
      <c r="O183"/>
    </row>
    <row r="184" spans="3:15" ht="12.75" customHeight="1" thickBot="1">
      <c r="C184" s="231" t="s">
        <v>706</v>
      </c>
      <c r="D184" s="838"/>
      <c r="E184" s="838"/>
      <c r="F184" s="839"/>
      <c r="G184" s="327"/>
      <c r="H184" s="234"/>
      <c r="I184" s="241"/>
      <c r="J184" s="223"/>
      <c r="K184" s="247">
        <v>0</v>
      </c>
      <c r="O184"/>
    </row>
    <row r="185" spans="3:15" ht="12.75" customHeight="1">
      <c r="C185" s="222"/>
      <c r="D185" s="222"/>
      <c r="E185" s="222"/>
      <c r="F185" s="307"/>
      <c r="J185" s="223"/>
      <c r="K185" s="288"/>
      <c r="O185"/>
    </row>
    <row r="186" spans="2:15" ht="12.75" customHeight="1">
      <c r="B186" s="802" t="s">
        <v>667</v>
      </c>
      <c r="C186" s="803"/>
      <c r="D186" s="803"/>
      <c r="E186" s="803"/>
      <c r="F186" s="803"/>
      <c r="G186" s="803"/>
      <c r="H186" s="803"/>
      <c r="I186" s="803"/>
      <c r="J186" s="249"/>
      <c r="K186" s="242"/>
      <c r="M186" s="243"/>
      <c r="O186"/>
    </row>
    <row r="187" spans="2:15" ht="12.75" customHeight="1">
      <c r="B187" s="837" t="s">
        <v>745</v>
      </c>
      <c r="C187" s="837"/>
      <c r="D187" s="837"/>
      <c r="E187" s="837"/>
      <c r="F187" s="837"/>
      <c r="G187" s="837"/>
      <c r="H187" s="837"/>
      <c r="I187" s="837"/>
      <c r="J187" s="250"/>
      <c r="K187" s="242"/>
      <c r="M187" s="243"/>
      <c r="O187"/>
    </row>
    <row r="188" spans="2:15" ht="12.75" customHeight="1">
      <c r="B188" s="198"/>
      <c r="C188" s="198"/>
      <c r="D188" s="198"/>
      <c r="E188" s="198"/>
      <c r="F188" s="198"/>
      <c r="G188" s="334"/>
      <c r="H188" s="198"/>
      <c r="I188" s="335"/>
      <c r="J188" s="198"/>
      <c r="K188" s="242"/>
      <c r="M188" s="243"/>
      <c r="O188"/>
    </row>
    <row r="189" spans="2:15" ht="12.75" customHeight="1">
      <c r="B189" s="805" t="s">
        <v>746</v>
      </c>
      <c r="C189" s="806"/>
      <c r="D189" s="806"/>
      <c r="E189" s="806"/>
      <c r="F189" s="806"/>
      <c r="G189" s="806"/>
      <c r="H189" s="806"/>
      <c r="I189" s="807"/>
      <c r="J189" s="287"/>
      <c r="K189" s="216"/>
      <c r="O189"/>
    </row>
    <row r="190" spans="2:15" ht="12.75" customHeight="1">
      <c r="B190" s="289"/>
      <c r="C190" s="289"/>
      <c r="D190" s="289"/>
      <c r="E190" s="289"/>
      <c r="F190" s="289"/>
      <c r="G190" s="289"/>
      <c r="H190" s="289"/>
      <c r="I190" s="289"/>
      <c r="J190" s="287"/>
      <c r="K190" s="216"/>
      <c r="O190"/>
    </row>
    <row r="191" spans="3:15" ht="12.75" customHeight="1">
      <c r="C191" s="835" t="s">
        <v>36</v>
      </c>
      <c r="D191" s="835"/>
      <c r="E191" s="310"/>
      <c r="F191" s="287"/>
      <c r="G191" s="311"/>
      <c r="H191" s="287"/>
      <c r="I191" s="312"/>
      <c r="J191" s="223"/>
      <c r="O191"/>
    </row>
    <row r="192" spans="3:15" ht="12.75" customHeight="1">
      <c r="C192" s="336"/>
      <c r="D192" s="833" t="s">
        <v>568</v>
      </c>
      <c r="E192" s="833"/>
      <c r="F192" s="834"/>
      <c r="G192" s="327" t="s">
        <v>747</v>
      </c>
      <c r="H192" s="234"/>
      <c r="I192" s="241" t="s">
        <v>598</v>
      </c>
      <c r="J192" s="223"/>
      <c r="O192"/>
    </row>
    <row r="193" spans="3:15" ht="12.75" customHeight="1">
      <c r="C193" s="336"/>
      <c r="D193" s="833" t="s">
        <v>569</v>
      </c>
      <c r="E193" s="833"/>
      <c r="F193" s="834"/>
      <c r="G193" s="327" t="s">
        <v>747</v>
      </c>
      <c r="H193" s="234"/>
      <c r="I193" s="241" t="s">
        <v>598</v>
      </c>
      <c r="J193" s="223"/>
      <c r="K193" s="216"/>
      <c r="O193"/>
    </row>
    <row r="194" spans="3:15" ht="12.75" customHeight="1" thickBot="1">
      <c r="C194" s="222"/>
      <c r="D194" s="833" t="s">
        <v>748</v>
      </c>
      <c r="E194" s="833"/>
      <c r="F194" s="834"/>
      <c r="G194" s="327" t="s">
        <v>749</v>
      </c>
      <c r="H194" s="234"/>
      <c r="I194" s="241">
        <v>23.15</v>
      </c>
      <c r="J194" s="223"/>
      <c r="K194" s="244" t="s">
        <v>666</v>
      </c>
      <c r="O194"/>
    </row>
    <row r="195" spans="3:15" ht="12.75" customHeight="1" thickBot="1">
      <c r="C195" s="222"/>
      <c r="D195" s="833" t="s">
        <v>750</v>
      </c>
      <c r="E195" s="833"/>
      <c r="F195" s="834"/>
      <c r="G195" s="327" t="s">
        <v>751</v>
      </c>
      <c r="H195" s="234"/>
      <c r="I195" s="241">
        <v>21.71</v>
      </c>
      <c r="J195" s="223"/>
      <c r="K195" s="247">
        <v>3086451</v>
      </c>
      <c r="O195"/>
    </row>
    <row r="196" spans="3:15" ht="12.75" customHeight="1">
      <c r="C196" s="836" t="s">
        <v>37</v>
      </c>
      <c r="D196" s="836"/>
      <c r="E196" s="315"/>
      <c r="F196" s="307"/>
      <c r="G196" s="337"/>
      <c r="H196" s="287"/>
      <c r="I196" s="338"/>
      <c r="J196" s="223"/>
      <c r="O196"/>
    </row>
    <row r="197" spans="3:15" ht="12.75" customHeight="1">
      <c r="C197" s="315"/>
      <c r="D197" s="833" t="s">
        <v>568</v>
      </c>
      <c r="E197" s="833"/>
      <c r="F197" s="834"/>
      <c r="G197" s="327" t="s">
        <v>747</v>
      </c>
      <c r="H197" s="287"/>
      <c r="I197" s="241" t="s">
        <v>598</v>
      </c>
      <c r="J197" s="223"/>
      <c r="O197"/>
    </row>
    <row r="198" spans="3:15" ht="12.75" customHeight="1">
      <c r="C198" s="231" t="s">
        <v>706</v>
      </c>
      <c r="D198" s="833" t="s">
        <v>569</v>
      </c>
      <c r="E198" s="833"/>
      <c r="F198" s="834"/>
      <c r="G198" s="327" t="s">
        <v>747</v>
      </c>
      <c r="H198" s="234"/>
      <c r="I198" s="241" t="s">
        <v>598</v>
      </c>
      <c r="J198" s="223"/>
      <c r="O198"/>
    </row>
    <row r="199" spans="3:15" ht="12.75" customHeight="1" thickBot="1">
      <c r="C199" s="231" t="s">
        <v>706</v>
      </c>
      <c r="D199" s="833" t="s">
        <v>748</v>
      </c>
      <c r="E199" s="833"/>
      <c r="F199" s="834"/>
      <c r="G199" s="327" t="s">
        <v>749</v>
      </c>
      <c r="H199" s="234"/>
      <c r="I199" s="241">
        <v>21.6</v>
      </c>
      <c r="J199" s="223"/>
      <c r="K199" s="256" t="s">
        <v>688</v>
      </c>
      <c r="O199"/>
    </row>
    <row r="200" spans="3:15" ht="12.75" customHeight="1" thickBot="1">
      <c r="C200" s="231"/>
      <c r="D200" s="833" t="s">
        <v>750</v>
      </c>
      <c r="E200" s="833"/>
      <c r="F200" s="834"/>
      <c r="G200" s="327" t="s">
        <v>751</v>
      </c>
      <c r="H200" s="234"/>
      <c r="I200" s="241">
        <v>13.69</v>
      </c>
      <c r="J200" s="223"/>
      <c r="K200" s="247">
        <v>3125324.5</v>
      </c>
      <c r="O200"/>
    </row>
    <row r="201" spans="3:15" ht="12.75" customHeight="1">
      <c r="C201" s="222"/>
      <c r="D201" s="222"/>
      <c r="E201" s="222"/>
      <c r="J201" s="223"/>
      <c r="K201" s="288"/>
      <c r="O201"/>
    </row>
    <row r="202" spans="2:15" ht="12.75" customHeight="1">
      <c r="B202" s="802" t="s">
        <v>667</v>
      </c>
      <c r="C202" s="803"/>
      <c r="D202" s="803"/>
      <c r="E202" s="803"/>
      <c r="F202" s="803"/>
      <c r="G202" s="803"/>
      <c r="H202" s="803"/>
      <c r="I202" s="803"/>
      <c r="J202" s="249"/>
      <c r="K202" s="242"/>
      <c r="M202" s="243"/>
      <c r="O202"/>
    </row>
    <row r="203" spans="2:15" ht="12.75" customHeight="1">
      <c r="B203" s="339"/>
      <c r="C203" s="340"/>
      <c r="D203" s="340"/>
      <c r="E203" s="340"/>
      <c r="F203" s="340"/>
      <c r="G203" s="341"/>
      <c r="H203" s="340"/>
      <c r="I203" s="342"/>
      <c r="J203" s="250"/>
      <c r="K203" s="242"/>
      <c r="M203" s="243"/>
      <c r="O203"/>
    </row>
    <row r="204" spans="2:15" ht="12.75" customHeight="1">
      <c r="B204" s="250"/>
      <c r="C204" s="198"/>
      <c r="D204" s="198"/>
      <c r="E204" s="198"/>
      <c r="F204" s="198"/>
      <c r="G204" s="334"/>
      <c r="H204" s="198"/>
      <c r="I204" s="335"/>
      <c r="J204" s="250"/>
      <c r="K204" s="242"/>
      <c r="M204" s="243"/>
      <c r="O204"/>
    </row>
    <row r="205" spans="2:15" ht="12.75" customHeight="1">
      <c r="B205" s="250"/>
      <c r="C205" s="198"/>
      <c r="D205" s="198"/>
      <c r="E205" s="198"/>
      <c r="F205" s="198"/>
      <c r="G205" s="334"/>
      <c r="H205" s="198"/>
      <c r="I205" s="335"/>
      <c r="J205" s="250"/>
      <c r="K205" s="242"/>
      <c r="M205" s="243"/>
      <c r="O205"/>
    </row>
    <row r="206" spans="2:15" ht="12.75" customHeight="1">
      <c r="B206" s="250"/>
      <c r="C206" s="198"/>
      <c r="D206" s="198"/>
      <c r="E206" s="198"/>
      <c r="F206" s="198"/>
      <c r="G206" s="334"/>
      <c r="H206" s="198"/>
      <c r="I206" s="335"/>
      <c r="J206" s="250"/>
      <c r="K206" s="242"/>
      <c r="M206" s="243"/>
      <c r="O206"/>
    </row>
    <row r="207" spans="2:15" ht="12.75" customHeight="1">
      <c r="B207" s="343"/>
      <c r="C207" s="344"/>
      <c r="D207" s="344"/>
      <c r="E207" s="344"/>
      <c r="F207" s="344"/>
      <c r="G207" s="345"/>
      <c r="H207" s="344"/>
      <c r="I207" s="346"/>
      <c r="J207" s="250"/>
      <c r="K207" s="242"/>
      <c r="M207" s="243"/>
      <c r="O207"/>
    </row>
    <row r="208" spans="3:15" ht="12.75" customHeight="1">
      <c r="C208" s="196"/>
      <c r="D208" s="196"/>
      <c r="E208" s="196"/>
      <c r="O208"/>
    </row>
    <row r="209" spans="2:15" ht="12.75" customHeight="1">
      <c r="B209" s="821" t="s">
        <v>752</v>
      </c>
      <c r="C209" s="822"/>
      <c r="D209" s="822"/>
      <c r="E209" s="822"/>
      <c r="F209" s="822"/>
      <c r="G209" s="822"/>
      <c r="H209" s="822"/>
      <c r="I209" s="823"/>
      <c r="J209" s="347"/>
      <c r="K209" s="216"/>
      <c r="O209"/>
    </row>
    <row r="210" spans="2:15" ht="12.75" customHeight="1">
      <c r="B210" s="348"/>
      <c r="C210" s="348"/>
      <c r="D210" s="348"/>
      <c r="E210" s="348"/>
      <c r="F210" s="348"/>
      <c r="G210" s="348"/>
      <c r="H210" s="348"/>
      <c r="I210" s="348"/>
      <c r="J210" s="347"/>
      <c r="K210" s="216"/>
      <c r="O210"/>
    </row>
    <row r="211" spans="3:15" ht="12.75" customHeight="1">
      <c r="C211" s="835" t="s">
        <v>36</v>
      </c>
      <c r="D211" s="835"/>
      <c r="E211" s="310"/>
      <c r="F211" s="287"/>
      <c r="G211" s="311"/>
      <c r="H211" s="287"/>
      <c r="I211" s="312"/>
      <c r="J211" s="223"/>
      <c r="O211"/>
    </row>
    <row r="212" spans="3:15" ht="12.75" customHeight="1">
      <c r="C212" s="830" t="s">
        <v>572</v>
      </c>
      <c r="D212" s="830"/>
      <c r="E212" s="830"/>
      <c r="F212" s="830"/>
      <c r="G212" s="327" t="s">
        <v>753</v>
      </c>
      <c r="H212" s="234"/>
      <c r="I212" s="241"/>
      <c r="J212" s="223"/>
      <c r="O212"/>
    </row>
    <row r="213" spans="3:15" ht="12.75" customHeight="1">
      <c r="C213" s="830" t="s">
        <v>572</v>
      </c>
      <c r="D213" s="830"/>
      <c r="E213" s="830"/>
      <c r="F213" s="830"/>
      <c r="G213" s="327" t="s">
        <v>754</v>
      </c>
      <c r="H213" s="234"/>
      <c r="I213" s="241"/>
      <c r="J213" s="223"/>
      <c r="O213"/>
    </row>
    <row r="214" spans="3:15" ht="21.75" customHeight="1">
      <c r="C214" s="830" t="s">
        <v>573</v>
      </c>
      <c r="D214" s="830"/>
      <c r="E214" s="830"/>
      <c r="F214" s="830"/>
      <c r="G214" s="327" t="s">
        <v>755</v>
      </c>
      <c r="H214" s="234"/>
      <c r="I214" s="241"/>
      <c r="J214" s="223"/>
      <c r="O214"/>
    </row>
    <row r="215" spans="3:15" ht="12.75" customHeight="1">
      <c r="C215" s="830" t="s">
        <v>574</v>
      </c>
      <c r="D215" s="830"/>
      <c r="E215" s="830"/>
      <c r="F215" s="830"/>
      <c r="G215" s="327" t="s">
        <v>756</v>
      </c>
      <c r="H215" s="234"/>
      <c r="I215" s="241"/>
      <c r="J215" s="223"/>
      <c r="O215"/>
    </row>
    <row r="216" spans="3:15" ht="12.75" customHeight="1">
      <c r="C216" s="830" t="s">
        <v>575</v>
      </c>
      <c r="D216" s="830"/>
      <c r="E216" s="830"/>
      <c r="F216" s="830"/>
      <c r="G216" s="327" t="s">
        <v>601</v>
      </c>
      <c r="H216" s="234"/>
      <c r="I216" s="241"/>
      <c r="J216" s="223"/>
      <c r="O216"/>
    </row>
    <row r="217" spans="3:15" ht="12.75" customHeight="1">
      <c r="C217" s="830" t="s">
        <v>577</v>
      </c>
      <c r="D217" s="830"/>
      <c r="E217" s="830"/>
      <c r="F217" s="830"/>
      <c r="G217" s="349" t="s">
        <v>601</v>
      </c>
      <c r="H217" s="234"/>
      <c r="I217" s="241"/>
      <c r="J217" s="223"/>
      <c r="O217"/>
    </row>
    <row r="218" spans="3:15" ht="12.75" customHeight="1" thickBot="1">
      <c r="C218" s="830" t="s">
        <v>578</v>
      </c>
      <c r="D218" s="830"/>
      <c r="E218" s="830"/>
      <c r="F218" s="830"/>
      <c r="G218" s="349" t="s">
        <v>758</v>
      </c>
      <c r="H218" s="234"/>
      <c r="I218" s="241"/>
      <c r="J218" s="223"/>
      <c r="K218" s="244" t="s">
        <v>666</v>
      </c>
      <c r="O218"/>
    </row>
    <row r="219" spans="3:15" ht="12.75" customHeight="1" thickBot="1">
      <c r="C219" s="830" t="s">
        <v>579</v>
      </c>
      <c r="D219" s="830"/>
      <c r="E219" s="830"/>
      <c r="F219" s="830"/>
      <c r="G219" s="349" t="s">
        <v>759</v>
      </c>
      <c r="H219" s="234"/>
      <c r="I219" s="241"/>
      <c r="J219" s="223"/>
      <c r="K219" s="247">
        <v>6176328</v>
      </c>
      <c r="O219"/>
    </row>
    <row r="220" spans="3:15" ht="12.75" customHeight="1">
      <c r="C220" s="832" t="s">
        <v>37</v>
      </c>
      <c r="D220" s="832"/>
      <c r="E220" s="350"/>
      <c r="F220" s="351"/>
      <c r="G220" s="337"/>
      <c r="H220" s="287"/>
      <c r="I220" s="338"/>
      <c r="J220" s="223"/>
      <c r="O220"/>
    </row>
    <row r="221" spans="3:15" ht="12.75" customHeight="1">
      <c r="C221" s="830" t="s">
        <v>572</v>
      </c>
      <c r="D221" s="830"/>
      <c r="E221" s="830"/>
      <c r="F221" s="830"/>
      <c r="G221" s="327" t="s">
        <v>760</v>
      </c>
      <c r="H221" s="234"/>
      <c r="I221" s="241"/>
      <c r="J221" s="223"/>
      <c r="O221"/>
    </row>
    <row r="222" spans="3:15" ht="12.75" customHeight="1">
      <c r="C222" s="830" t="s">
        <v>572</v>
      </c>
      <c r="D222" s="830"/>
      <c r="E222" s="830"/>
      <c r="F222" s="831"/>
      <c r="G222" s="327" t="s">
        <v>761</v>
      </c>
      <c r="H222" s="234"/>
      <c r="I222" s="241"/>
      <c r="J222" s="223"/>
      <c r="O222"/>
    </row>
    <row r="223" spans="3:15" ht="12.75" customHeight="1">
      <c r="C223" s="830" t="s">
        <v>573</v>
      </c>
      <c r="D223" s="830"/>
      <c r="E223" s="830"/>
      <c r="F223" s="831"/>
      <c r="G223" s="327" t="s">
        <v>755</v>
      </c>
      <c r="H223" s="234"/>
      <c r="I223" s="241"/>
      <c r="J223" s="223"/>
      <c r="O223"/>
    </row>
    <row r="224" spans="3:15" ht="12.75" customHeight="1">
      <c r="C224" s="830" t="s">
        <v>574</v>
      </c>
      <c r="D224" s="830"/>
      <c r="E224" s="830"/>
      <c r="F224" s="831"/>
      <c r="G224" s="327" t="s">
        <v>756</v>
      </c>
      <c r="H224" s="234"/>
      <c r="I224" s="241"/>
      <c r="J224" s="223"/>
      <c r="O224"/>
    </row>
    <row r="225" spans="3:15" ht="12.75" customHeight="1">
      <c r="C225" s="830" t="s">
        <v>575</v>
      </c>
      <c r="D225" s="830"/>
      <c r="E225" s="830"/>
      <c r="F225" s="831"/>
      <c r="G225" s="327" t="s">
        <v>601</v>
      </c>
      <c r="H225" s="234"/>
      <c r="I225" s="241"/>
      <c r="J225" s="223"/>
      <c r="O225"/>
    </row>
    <row r="226" spans="3:15" ht="12.75" customHeight="1">
      <c r="C226" s="830" t="s">
        <v>576</v>
      </c>
      <c r="D226" s="830"/>
      <c r="E226" s="830"/>
      <c r="F226" s="831"/>
      <c r="G226" s="327" t="s">
        <v>757</v>
      </c>
      <c r="H226" s="234"/>
      <c r="I226" s="241"/>
      <c r="J226" s="223"/>
      <c r="O226"/>
    </row>
    <row r="227" spans="3:15" ht="12.75" customHeight="1">
      <c r="C227" s="830" t="s">
        <v>577</v>
      </c>
      <c r="D227" s="830"/>
      <c r="E227" s="830"/>
      <c r="F227" s="831"/>
      <c r="G227" s="349" t="s">
        <v>601</v>
      </c>
      <c r="H227" s="234"/>
      <c r="I227" s="241"/>
      <c r="J227" s="223"/>
      <c r="O227"/>
    </row>
    <row r="228" spans="3:15" ht="12.75" customHeight="1" thickBot="1">
      <c r="C228" s="830" t="s">
        <v>578</v>
      </c>
      <c r="D228" s="830"/>
      <c r="E228" s="830"/>
      <c r="F228" s="831"/>
      <c r="G228" s="349" t="s">
        <v>758</v>
      </c>
      <c r="H228" s="234"/>
      <c r="I228" s="241"/>
      <c r="J228" s="223"/>
      <c r="K228" s="256" t="s">
        <v>688</v>
      </c>
      <c r="O228"/>
    </row>
    <row r="229" spans="3:15" ht="12.75" customHeight="1" thickBot="1">
      <c r="C229" s="830" t="s">
        <v>579</v>
      </c>
      <c r="D229" s="830"/>
      <c r="E229" s="830"/>
      <c r="F229" s="831"/>
      <c r="G229" s="349" t="s">
        <v>759</v>
      </c>
      <c r="H229" s="234"/>
      <c r="I229" s="241"/>
      <c r="J229" s="223"/>
      <c r="K229" s="247">
        <v>3842317.25</v>
      </c>
      <c r="O229"/>
    </row>
    <row r="230" spans="3:15" ht="12.75" customHeight="1">
      <c r="C230" s="223"/>
      <c r="D230" s="223"/>
      <c r="E230" s="223"/>
      <c r="J230" s="223"/>
      <c r="K230" s="288"/>
      <c r="O230"/>
    </row>
    <row r="231" spans="2:15" ht="12.75" customHeight="1">
      <c r="B231" s="802" t="s">
        <v>667</v>
      </c>
      <c r="C231" s="803"/>
      <c r="D231" s="803"/>
      <c r="E231" s="803"/>
      <c r="F231" s="803"/>
      <c r="G231" s="803"/>
      <c r="H231" s="803"/>
      <c r="I231" s="803"/>
      <c r="J231" s="249"/>
      <c r="K231" s="242"/>
      <c r="M231" s="243"/>
      <c r="O231"/>
    </row>
    <row r="232" spans="2:15" ht="12.75" customHeight="1">
      <c r="B232" s="339"/>
      <c r="C232" s="340"/>
      <c r="D232" s="340"/>
      <c r="E232" s="340"/>
      <c r="F232" s="340"/>
      <c r="G232" s="341"/>
      <c r="H232" s="340"/>
      <c r="I232" s="342"/>
      <c r="J232" s="250"/>
      <c r="K232" s="242"/>
      <c r="M232" s="243"/>
      <c r="O232"/>
    </row>
    <row r="233" spans="2:15" ht="12.75" customHeight="1">
      <c r="B233" s="250"/>
      <c r="C233" s="198"/>
      <c r="D233" s="198"/>
      <c r="E233" s="198"/>
      <c r="F233" s="198"/>
      <c r="G233" s="334"/>
      <c r="H233" s="198"/>
      <c r="I233" s="335"/>
      <c r="J233" s="250"/>
      <c r="K233" s="242"/>
      <c r="M233" s="243"/>
      <c r="O233"/>
    </row>
    <row r="234" spans="2:15" ht="12.75" customHeight="1">
      <c r="B234" s="250"/>
      <c r="C234" s="198"/>
      <c r="D234" s="198"/>
      <c r="E234" s="198"/>
      <c r="F234" s="198"/>
      <c r="G234" s="334"/>
      <c r="H234" s="198"/>
      <c r="I234" s="335"/>
      <c r="J234" s="250"/>
      <c r="K234" s="242"/>
      <c r="M234" s="243"/>
      <c r="O234"/>
    </row>
    <row r="235" spans="2:15" ht="12.75" customHeight="1">
      <c r="B235" s="250"/>
      <c r="C235" s="198"/>
      <c r="D235" s="198"/>
      <c r="E235" s="198"/>
      <c r="F235" s="198"/>
      <c r="G235" s="334"/>
      <c r="H235" s="198"/>
      <c r="I235" s="335"/>
      <c r="J235" s="250"/>
      <c r="K235" s="242"/>
      <c r="M235" s="243"/>
      <c r="O235"/>
    </row>
    <row r="236" spans="2:15" ht="12.75" customHeight="1">
      <c r="B236" s="343"/>
      <c r="C236" s="344"/>
      <c r="D236" s="344"/>
      <c r="E236" s="344"/>
      <c r="F236" s="344"/>
      <c r="G236" s="345"/>
      <c r="H236" s="344"/>
      <c r="I236" s="346"/>
      <c r="J236" s="250"/>
      <c r="K236" s="242"/>
      <c r="M236" s="243"/>
      <c r="O236"/>
    </row>
    <row r="237" spans="3:15" ht="12.75" customHeight="1" thickBot="1">
      <c r="C237" s="196"/>
      <c r="D237" s="196"/>
      <c r="E237" s="196"/>
      <c r="O237"/>
    </row>
    <row r="238" spans="2:15" ht="15.75" customHeight="1" thickBot="1">
      <c r="B238" s="827" t="s">
        <v>762</v>
      </c>
      <c r="C238" s="828"/>
      <c r="D238" s="828"/>
      <c r="E238" s="828"/>
      <c r="F238" s="828"/>
      <c r="G238" s="828"/>
      <c r="H238" s="828"/>
      <c r="I238" s="829"/>
      <c r="K238" s="216"/>
      <c r="O238"/>
    </row>
    <row r="239" spans="2:15" ht="12.75" customHeight="1">
      <c r="B239" s="352"/>
      <c r="C239" s="352"/>
      <c r="D239" s="352"/>
      <c r="E239" s="352"/>
      <c r="F239" s="352"/>
      <c r="G239" s="353"/>
      <c r="H239" s="352"/>
      <c r="I239" s="354"/>
      <c r="K239" s="216"/>
      <c r="O239"/>
    </row>
    <row r="240" spans="2:15" ht="15" customHeight="1">
      <c r="B240" s="821" t="s">
        <v>763</v>
      </c>
      <c r="C240" s="822"/>
      <c r="D240" s="822"/>
      <c r="E240" s="822"/>
      <c r="F240" s="822"/>
      <c r="G240" s="822"/>
      <c r="H240" s="822"/>
      <c r="I240" s="823"/>
      <c r="K240" s="216"/>
      <c r="O240"/>
    </row>
    <row r="241" spans="11:15" ht="12.75" customHeight="1" thickBot="1">
      <c r="K241" s="244" t="s">
        <v>666</v>
      </c>
      <c r="O241"/>
    </row>
    <row r="242" spans="11:15" ht="12.75" customHeight="1" thickBot="1">
      <c r="K242" s="247">
        <v>0</v>
      </c>
      <c r="O242"/>
    </row>
    <row r="243" spans="2:15" ht="12.75" customHeight="1" thickBot="1">
      <c r="B243" s="177"/>
      <c r="C243" s="800"/>
      <c r="D243" s="800"/>
      <c r="E243" s="800"/>
      <c r="F243" s="808"/>
      <c r="G243" s="808"/>
      <c r="H243" s="808"/>
      <c r="I243" s="808"/>
      <c r="K243" s="285" t="s">
        <v>688</v>
      </c>
      <c r="O243"/>
    </row>
    <row r="244" spans="2:15" ht="12.75" customHeight="1" thickBot="1">
      <c r="B244" s="177"/>
      <c r="C244" s="820"/>
      <c r="D244" s="820"/>
      <c r="E244" s="820"/>
      <c r="F244" s="820"/>
      <c r="G244" s="820"/>
      <c r="H244" s="820"/>
      <c r="I244" s="820"/>
      <c r="K244" s="247">
        <v>0</v>
      </c>
      <c r="O244"/>
    </row>
    <row r="245" spans="2:15" ht="12.75" customHeight="1">
      <c r="B245" s="162"/>
      <c r="C245" s="355"/>
      <c r="D245" s="355"/>
      <c r="E245" s="355"/>
      <c r="F245" s="355"/>
      <c r="G245" s="356"/>
      <c r="H245" s="355"/>
      <c r="I245" s="357"/>
      <c r="J245" s="180"/>
      <c r="K245" s="288"/>
      <c r="L245" s="180"/>
      <c r="M245" s="358"/>
      <c r="N245" s="180"/>
      <c r="O245"/>
    </row>
    <row r="246" spans="2:15" ht="12.75" customHeight="1">
      <c r="B246" s="802" t="s">
        <v>667</v>
      </c>
      <c r="C246" s="803"/>
      <c r="D246" s="803"/>
      <c r="E246" s="803"/>
      <c r="F246" s="803"/>
      <c r="G246" s="803"/>
      <c r="H246" s="803"/>
      <c r="I246" s="803"/>
      <c r="J246" s="249"/>
      <c r="K246" s="242"/>
      <c r="M246" s="243"/>
      <c r="O246"/>
    </row>
    <row r="247" spans="2:15" ht="12.75" customHeight="1">
      <c r="B247" s="339" t="s">
        <v>764</v>
      </c>
      <c r="C247" s="340"/>
      <c r="D247" s="340"/>
      <c r="E247" s="340"/>
      <c r="F247" s="340"/>
      <c r="G247" s="341"/>
      <c r="H247" s="340"/>
      <c r="I247" s="342"/>
      <c r="J247" s="250"/>
      <c r="K247" s="242"/>
      <c r="M247" s="243"/>
      <c r="O247"/>
    </row>
    <row r="248" spans="2:15" ht="12.75" customHeight="1">
      <c r="B248" s="250"/>
      <c r="C248" s="198"/>
      <c r="D248" s="198"/>
      <c r="E248" s="198"/>
      <c r="F248" s="198"/>
      <c r="G248" s="334"/>
      <c r="H248" s="198"/>
      <c r="I248" s="335"/>
      <c r="J248" s="250"/>
      <c r="K248" s="242"/>
      <c r="M248" s="243"/>
      <c r="O248"/>
    </row>
    <row r="249" spans="2:15" ht="12.75" customHeight="1">
      <c r="B249" s="250"/>
      <c r="C249" s="198"/>
      <c r="D249" s="198"/>
      <c r="E249" s="198"/>
      <c r="F249" s="198"/>
      <c r="G249" s="334"/>
      <c r="H249" s="198"/>
      <c r="I249" s="335"/>
      <c r="J249" s="250"/>
      <c r="K249" s="242"/>
      <c r="M249" s="243"/>
      <c r="O249"/>
    </row>
    <row r="250" spans="2:15" ht="12.75" customHeight="1">
      <c r="B250" s="250"/>
      <c r="C250" s="198"/>
      <c r="D250" s="198"/>
      <c r="E250" s="198"/>
      <c r="F250" s="198"/>
      <c r="G250" s="334"/>
      <c r="H250" s="198"/>
      <c r="I250" s="335"/>
      <c r="J250" s="250"/>
      <c r="K250" s="242"/>
      <c r="M250" s="243"/>
      <c r="O250"/>
    </row>
    <row r="251" spans="2:15" ht="12.75" customHeight="1">
      <c r="B251" s="343"/>
      <c r="C251" s="344"/>
      <c r="D251" s="344"/>
      <c r="E251" s="344"/>
      <c r="F251" s="344"/>
      <c r="G251" s="345"/>
      <c r="H251" s="344"/>
      <c r="I251" s="346"/>
      <c r="J251" s="250"/>
      <c r="K251" s="242"/>
      <c r="M251" s="243"/>
      <c r="O251"/>
    </row>
    <row r="252" spans="2:15" ht="12.75" customHeight="1">
      <c r="B252" s="198"/>
      <c r="C252" s="198"/>
      <c r="D252" s="198"/>
      <c r="E252" s="198"/>
      <c r="F252" s="198"/>
      <c r="G252" s="334"/>
      <c r="H252" s="198"/>
      <c r="I252" s="335"/>
      <c r="J252" s="198"/>
      <c r="K252" s="242"/>
      <c r="M252" s="243"/>
      <c r="O252"/>
    </row>
    <row r="253" spans="2:15" ht="12.75" customHeight="1">
      <c r="B253" s="821" t="s">
        <v>765</v>
      </c>
      <c r="C253" s="822"/>
      <c r="D253" s="822"/>
      <c r="E253" s="822"/>
      <c r="F253" s="822"/>
      <c r="G253" s="822"/>
      <c r="H253" s="822"/>
      <c r="I253" s="823"/>
      <c r="K253" s="216"/>
      <c r="O253"/>
    </row>
    <row r="254" spans="11:15" ht="12.75" customHeight="1" thickBot="1">
      <c r="K254" s="244" t="s">
        <v>666</v>
      </c>
      <c r="O254"/>
    </row>
    <row r="255" spans="11:15" ht="12.75" customHeight="1" thickBot="1">
      <c r="K255" s="247">
        <v>0</v>
      </c>
      <c r="O255"/>
    </row>
    <row r="256" spans="2:15" ht="12.75" customHeight="1" thickBot="1">
      <c r="B256" s="177"/>
      <c r="C256" s="800"/>
      <c r="D256" s="800"/>
      <c r="E256" s="800"/>
      <c r="F256" s="808"/>
      <c r="G256" s="808"/>
      <c r="H256" s="808"/>
      <c r="I256" s="808"/>
      <c r="K256" s="285" t="s">
        <v>688</v>
      </c>
      <c r="O256"/>
    </row>
    <row r="257" spans="2:15" ht="12.75" customHeight="1" thickBot="1">
      <c r="B257" s="177"/>
      <c r="C257" s="820"/>
      <c r="D257" s="820"/>
      <c r="E257" s="820"/>
      <c r="F257" s="820"/>
      <c r="G257" s="820"/>
      <c r="H257" s="820"/>
      <c r="I257" s="820"/>
      <c r="K257" s="247">
        <v>94670.75</v>
      </c>
      <c r="O257"/>
    </row>
    <row r="258" spans="2:15" ht="12.75" customHeight="1">
      <c r="B258" s="162"/>
      <c r="C258" s="355"/>
      <c r="D258" s="355"/>
      <c r="E258" s="355"/>
      <c r="F258" s="355"/>
      <c r="G258" s="356"/>
      <c r="H258" s="355"/>
      <c r="I258" s="357"/>
      <c r="J258" s="180"/>
      <c r="K258" s="288"/>
      <c r="L258" s="180"/>
      <c r="M258" s="358"/>
      <c r="N258" s="180"/>
      <c r="O258"/>
    </row>
    <row r="259" spans="2:15" ht="12.75" customHeight="1">
      <c r="B259" s="802" t="s">
        <v>667</v>
      </c>
      <c r="C259" s="803"/>
      <c r="D259" s="803"/>
      <c r="E259" s="803"/>
      <c r="F259" s="803"/>
      <c r="G259" s="803"/>
      <c r="H259" s="803"/>
      <c r="I259" s="803"/>
      <c r="J259" s="249"/>
      <c r="K259" s="242"/>
      <c r="M259" s="243"/>
      <c r="O259"/>
    </row>
    <row r="260" spans="2:15" ht="72" customHeight="1">
      <c r="B260" s="799" t="s">
        <v>766</v>
      </c>
      <c r="C260" s="799"/>
      <c r="D260" s="799"/>
      <c r="E260" s="799"/>
      <c r="F260" s="799"/>
      <c r="G260" s="799"/>
      <c r="H260" s="799"/>
      <c r="I260" s="799"/>
      <c r="J260" s="250"/>
      <c r="K260" s="242"/>
      <c r="M260" s="243"/>
      <c r="O260"/>
    </row>
    <row r="261" spans="2:15" ht="12.75" customHeight="1">
      <c r="B261" s="198"/>
      <c r="C261" s="198"/>
      <c r="D261" s="198"/>
      <c r="E261" s="198"/>
      <c r="F261" s="198"/>
      <c r="G261" s="334"/>
      <c r="H261" s="198"/>
      <c r="I261" s="335"/>
      <c r="J261" s="198"/>
      <c r="K261" s="242"/>
      <c r="M261" s="243"/>
      <c r="O261"/>
    </row>
    <row r="262" spans="2:15" ht="27.75" customHeight="1">
      <c r="B262" s="824" t="s">
        <v>767</v>
      </c>
      <c r="C262" s="825"/>
      <c r="D262" s="825"/>
      <c r="E262" s="825"/>
      <c r="F262" s="825"/>
      <c r="G262" s="825"/>
      <c r="H262" s="825"/>
      <c r="I262" s="826"/>
      <c r="K262" s="216"/>
      <c r="O262"/>
    </row>
    <row r="263" spans="2:15" ht="12.75" customHeight="1">
      <c r="B263" s="359"/>
      <c r="C263" s="794"/>
      <c r="D263" s="794"/>
      <c r="E263" s="794"/>
      <c r="F263" s="794"/>
      <c r="G263" s="794"/>
      <c r="H263" s="794"/>
      <c r="I263" s="794"/>
      <c r="K263" s="216"/>
      <c r="O263"/>
    </row>
    <row r="264" spans="2:15" ht="12.75" customHeight="1" thickBot="1">
      <c r="B264" s="177"/>
      <c r="C264" s="795"/>
      <c r="D264" s="795"/>
      <c r="E264" s="795"/>
      <c r="F264" s="795"/>
      <c r="G264" s="795"/>
      <c r="H264" s="795"/>
      <c r="I264" s="795"/>
      <c r="K264" s="256" t="s">
        <v>688</v>
      </c>
      <c r="O264"/>
    </row>
    <row r="265" spans="2:15" ht="12.75" customHeight="1" thickBot="1">
      <c r="B265" s="245"/>
      <c r="C265" s="809"/>
      <c r="D265" s="809"/>
      <c r="E265" s="809"/>
      <c r="F265" s="809"/>
      <c r="G265" s="809"/>
      <c r="H265" s="809"/>
      <c r="I265" s="809"/>
      <c r="K265" s="360">
        <v>-284336</v>
      </c>
      <c r="O265"/>
    </row>
    <row r="266" spans="2:15" ht="12.75" customHeight="1">
      <c r="B266" s="802" t="s">
        <v>667</v>
      </c>
      <c r="C266" s="803"/>
      <c r="D266" s="803"/>
      <c r="E266" s="803"/>
      <c r="F266" s="803"/>
      <c r="G266" s="803"/>
      <c r="H266" s="803"/>
      <c r="I266" s="803"/>
      <c r="J266" s="249"/>
      <c r="K266" s="242"/>
      <c r="M266" s="243"/>
      <c r="O266"/>
    </row>
    <row r="267" spans="2:15" ht="30.75" customHeight="1">
      <c r="B267" s="799" t="s">
        <v>768</v>
      </c>
      <c r="C267" s="799"/>
      <c r="D267" s="799"/>
      <c r="E267" s="799"/>
      <c r="F267" s="799"/>
      <c r="G267" s="799"/>
      <c r="H267" s="799"/>
      <c r="I267" s="799"/>
      <c r="J267" s="250"/>
      <c r="K267" s="242"/>
      <c r="M267" s="243"/>
      <c r="O267"/>
    </row>
    <row r="268" spans="2:15" ht="30" customHeight="1">
      <c r="B268" s="799" t="s">
        <v>769</v>
      </c>
      <c r="C268" s="799"/>
      <c r="D268" s="799"/>
      <c r="E268" s="799"/>
      <c r="F268" s="799"/>
      <c r="G268" s="799"/>
      <c r="H268" s="799"/>
      <c r="I268" s="799"/>
      <c r="J268" s="250"/>
      <c r="K268" s="242"/>
      <c r="M268" s="243"/>
      <c r="O268"/>
    </row>
    <row r="269" spans="2:15" ht="12.75" customHeight="1">
      <c r="B269" s="799" t="s">
        <v>770</v>
      </c>
      <c r="C269" s="799"/>
      <c r="D269" s="799"/>
      <c r="E269" s="799"/>
      <c r="F269" s="799"/>
      <c r="G269" s="799"/>
      <c r="H269" s="799"/>
      <c r="I269" s="799"/>
      <c r="J269" s="250"/>
      <c r="K269" s="242"/>
      <c r="M269" s="243"/>
      <c r="O269"/>
    </row>
    <row r="270" spans="2:15" ht="12.75" customHeight="1">
      <c r="B270" s="799" t="s">
        <v>771</v>
      </c>
      <c r="C270" s="799"/>
      <c r="D270" s="799"/>
      <c r="E270" s="799"/>
      <c r="F270" s="799"/>
      <c r="G270" s="799"/>
      <c r="H270" s="799"/>
      <c r="I270" s="799"/>
      <c r="J270" s="250"/>
      <c r="K270" s="242"/>
      <c r="M270" s="243"/>
      <c r="O270"/>
    </row>
    <row r="271" spans="2:15" ht="12.75" customHeight="1">
      <c r="B271" s="198"/>
      <c r="C271" s="198"/>
      <c r="D271" s="198"/>
      <c r="E271" s="198"/>
      <c r="F271" s="198"/>
      <c r="G271" s="334"/>
      <c r="H271" s="198"/>
      <c r="I271" s="335"/>
      <c r="J271" s="198"/>
      <c r="K271" s="242"/>
      <c r="M271" s="243"/>
      <c r="O271"/>
    </row>
    <row r="272" spans="2:15" ht="12.75" customHeight="1">
      <c r="B272" s="821" t="s">
        <v>772</v>
      </c>
      <c r="C272" s="822"/>
      <c r="D272" s="822"/>
      <c r="E272" s="822"/>
      <c r="F272" s="822"/>
      <c r="G272" s="822"/>
      <c r="H272" s="822"/>
      <c r="I272" s="823"/>
      <c r="K272" s="216"/>
      <c r="O272"/>
    </row>
    <row r="273" spans="11:15" ht="12.75" customHeight="1" thickBot="1">
      <c r="K273" s="244" t="s">
        <v>666</v>
      </c>
      <c r="O273"/>
    </row>
    <row r="274" spans="11:15" ht="12.75" customHeight="1" thickBot="1">
      <c r="K274" s="360">
        <v>18930</v>
      </c>
      <c r="O274"/>
    </row>
    <row r="275" spans="2:15" ht="12.75" customHeight="1" thickBot="1">
      <c r="B275" s="177"/>
      <c r="C275" s="800"/>
      <c r="D275" s="800"/>
      <c r="E275" s="800"/>
      <c r="F275" s="808"/>
      <c r="G275" s="808"/>
      <c r="H275" s="808"/>
      <c r="I275" s="808"/>
      <c r="K275" s="285" t="s">
        <v>688</v>
      </c>
      <c r="O275"/>
    </row>
    <row r="276" spans="2:15" ht="12.75" customHeight="1" thickBot="1">
      <c r="B276" s="177"/>
      <c r="C276" s="820"/>
      <c r="D276" s="820"/>
      <c r="E276" s="820"/>
      <c r="F276" s="820"/>
      <c r="G276" s="820"/>
      <c r="H276" s="820"/>
      <c r="I276" s="820"/>
      <c r="K276" s="360">
        <v>3946.5833333333335</v>
      </c>
      <c r="O276"/>
    </row>
    <row r="277" spans="2:15" ht="12.75" customHeight="1">
      <c r="B277" s="352"/>
      <c r="C277" s="352"/>
      <c r="D277" s="352"/>
      <c r="E277" s="352"/>
      <c r="F277" s="352"/>
      <c r="G277" s="353"/>
      <c r="H277" s="352"/>
      <c r="I277" s="354"/>
      <c r="K277" s="216"/>
      <c r="O277"/>
    </row>
    <row r="278" spans="2:15" ht="12.75" customHeight="1">
      <c r="B278" s="802" t="s">
        <v>667</v>
      </c>
      <c r="C278" s="803"/>
      <c r="D278" s="803"/>
      <c r="E278" s="803"/>
      <c r="F278" s="803"/>
      <c r="G278" s="803"/>
      <c r="H278" s="803"/>
      <c r="I278" s="803"/>
      <c r="J278" s="249"/>
      <c r="K278" s="242"/>
      <c r="M278" s="243"/>
      <c r="O278"/>
    </row>
    <row r="279" spans="2:15" ht="30" customHeight="1">
      <c r="B279" s="799" t="s">
        <v>773</v>
      </c>
      <c r="C279" s="799"/>
      <c r="D279" s="799"/>
      <c r="E279" s="799"/>
      <c r="F279" s="799"/>
      <c r="G279" s="799"/>
      <c r="H279" s="799"/>
      <c r="I279" s="799"/>
      <c r="J279" s="250"/>
      <c r="K279" s="242"/>
      <c r="M279" s="243"/>
      <c r="O279"/>
    </row>
    <row r="280" spans="2:15" ht="12.75" customHeight="1">
      <c r="B280" s="799"/>
      <c r="C280" s="799"/>
      <c r="D280" s="799"/>
      <c r="E280" s="799"/>
      <c r="F280" s="799"/>
      <c r="G280" s="799"/>
      <c r="H280" s="799"/>
      <c r="I280" s="799"/>
      <c r="J280" s="250"/>
      <c r="K280" s="242"/>
      <c r="M280" s="243"/>
      <c r="O280"/>
    </row>
    <row r="281" spans="2:15" ht="12.75" customHeight="1">
      <c r="B281" s="361"/>
      <c r="C281" s="344"/>
      <c r="D281" s="344"/>
      <c r="E281" s="344"/>
      <c r="F281" s="344"/>
      <c r="G281" s="345"/>
      <c r="H281" s="344"/>
      <c r="I281" s="346"/>
      <c r="J281" s="198"/>
      <c r="K281" s="242"/>
      <c r="M281" s="243"/>
      <c r="O281"/>
    </row>
    <row r="282" spans="2:15" ht="12.75" customHeight="1">
      <c r="B282" s="817" t="s">
        <v>774</v>
      </c>
      <c r="C282" s="818"/>
      <c r="D282" s="818"/>
      <c r="E282" s="818"/>
      <c r="F282" s="818"/>
      <c r="G282" s="818"/>
      <c r="H282" s="818"/>
      <c r="I282" s="819"/>
      <c r="O282"/>
    </row>
    <row r="283" spans="2:15" ht="12.75" customHeight="1" thickBot="1">
      <c r="B283" s="362"/>
      <c r="C283" s="363"/>
      <c r="D283" s="363"/>
      <c r="E283" s="363"/>
      <c r="F283" s="363"/>
      <c r="G283" s="364"/>
      <c r="H283" s="363"/>
      <c r="I283" s="365"/>
      <c r="K283" s="244" t="s">
        <v>666</v>
      </c>
      <c r="O283"/>
    </row>
    <row r="284" spans="2:15" ht="12.75" customHeight="1" thickBot="1">
      <c r="B284" s="177"/>
      <c r="C284" s="800"/>
      <c r="D284" s="800"/>
      <c r="E284" s="800"/>
      <c r="F284" s="800"/>
      <c r="G284" s="800"/>
      <c r="H284" s="800"/>
      <c r="I284" s="800"/>
      <c r="K284" s="360">
        <f>+K274+K255+K242+K219+K195+K181+K168+K151+K142+K120+K104+K92+K59+K37+K34+K26</f>
        <v>50568009.85999999</v>
      </c>
      <c r="O284"/>
    </row>
    <row r="285" spans="2:15" ht="12.75" customHeight="1" thickBot="1">
      <c r="B285" s="177"/>
      <c r="C285" s="795" t="s">
        <v>209</v>
      </c>
      <c r="D285" s="795"/>
      <c r="E285" s="795"/>
      <c r="F285" s="795"/>
      <c r="G285" s="795"/>
      <c r="H285" s="795"/>
      <c r="I285" s="795"/>
      <c r="K285" s="285" t="s">
        <v>688</v>
      </c>
      <c r="O285"/>
    </row>
    <row r="286" spans="2:15" ht="12.75" customHeight="1" thickBot="1">
      <c r="B286" s="245"/>
      <c r="C286" s="809"/>
      <c r="D286" s="809"/>
      <c r="E286" s="809"/>
      <c r="F286" s="809"/>
      <c r="G286" s="809"/>
      <c r="H286" s="809"/>
      <c r="I286" s="809"/>
      <c r="K286" s="360">
        <f>+K276+K265+K257+K244+K229+K200+K184+K172+K154+K145+K128+K107+K94+K85+K75+K63+K61</f>
        <v>49676874.68416667</v>
      </c>
      <c r="O286"/>
    </row>
    <row r="287" spans="2:15" ht="12.75" customHeight="1">
      <c r="B287" s="802" t="s">
        <v>667</v>
      </c>
      <c r="C287" s="803"/>
      <c r="D287" s="803"/>
      <c r="E287" s="803"/>
      <c r="F287" s="803"/>
      <c r="G287" s="803"/>
      <c r="H287" s="803"/>
      <c r="I287" s="803"/>
      <c r="J287" s="249"/>
      <c r="K287" s="242"/>
      <c r="M287" s="243"/>
      <c r="O287"/>
    </row>
    <row r="288" spans="2:15" ht="12.75" customHeight="1">
      <c r="B288" s="799"/>
      <c r="C288" s="799"/>
      <c r="D288" s="799"/>
      <c r="E288" s="799"/>
      <c r="F288" s="799"/>
      <c r="G288" s="799"/>
      <c r="H288" s="799"/>
      <c r="I288" s="799"/>
      <c r="J288" s="250"/>
      <c r="K288" s="242"/>
      <c r="M288" s="243"/>
      <c r="O288"/>
    </row>
    <row r="289" spans="2:15" ht="12.75" customHeight="1" thickBot="1">
      <c r="B289" s="177"/>
      <c r="C289" s="307"/>
      <c r="D289" s="307"/>
      <c r="E289" s="307"/>
      <c r="F289" s="307"/>
      <c r="G289" s="308"/>
      <c r="H289" s="307"/>
      <c r="I289" s="309"/>
      <c r="K289" s="288"/>
      <c r="O289"/>
    </row>
    <row r="290" spans="2:15" ht="15" customHeight="1" thickBot="1">
      <c r="B290" s="814" t="s">
        <v>775</v>
      </c>
      <c r="C290" s="815"/>
      <c r="D290" s="815"/>
      <c r="E290" s="815"/>
      <c r="F290" s="815"/>
      <c r="G290" s="815"/>
      <c r="H290" s="815"/>
      <c r="I290" s="816"/>
      <c r="O290"/>
    </row>
    <row r="291" spans="2:15" ht="12.75" customHeight="1">
      <c r="B291" s="296"/>
      <c r="C291" s="366"/>
      <c r="D291" s="366"/>
      <c r="E291" s="366"/>
      <c r="F291" s="366"/>
      <c r="G291" s="367"/>
      <c r="H291" s="223"/>
      <c r="O291"/>
    </row>
    <row r="292" spans="2:15" ht="12.75" customHeight="1">
      <c r="B292" s="805" t="s">
        <v>776</v>
      </c>
      <c r="C292" s="806"/>
      <c r="D292" s="806"/>
      <c r="E292" s="806"/>
      <c r="F292" s="806"/>
      <c r="G292" s="806"/>
      <c r="H292" s="806"/>
      <c r="I292" s="807"/>
      <c r="J292" s="287"/>
      <c r="O292"/>
    </row>
    <row r="293" spans="2:15" ht="12.75" customHeight="1">
      <c r="B293" s="289"/>
      <c r="C293" s="289"/>
      <c r="D293" s="289"/>
      <c r="E293" s="289"/>
      <c r="F293" s="289"/>
      <c r="G293" s="368"/>
      <c r="H293" s="289"/>
      <c r="I293" s="369"/>
      <c r="J293" s="287"/>
      <c r="O293"/>
    </row>
    <row r="294" spans="3:15" ht="12.75" customHeight="1">
      <c r="C294" s="277"/>
      <c r="D294" s="370"/>
      <c r="F294" s="371">
        <v>29</v>
      </c>
      <c r="G294" s="372" t="s">
        <v>630</v>
      </c>
      <c r="H294" s="234"/>
      <c r="I294" s="373">
        <v>7086.95</v>
      </c>
      <c r="J294" s="223"/>
      <c r="O294"/>
    </row>
    <row r="295" spans="3:15" ht="12.75" customHeight="1">
      <c r="C295" s="277"/>
      <c r="D295" s="370"/>
      <c r="F295" s="371">
        <v>84</v>
      </c>
      <c r="G295" s="372" t="s">
        <v>631</v>
      </c>
      <c r="H295" s="234"/>
      <c r="I295" s="373">
        <v>6126.976809066927</v>
      </c>
      <c r="J295" s="223"/>
      <c r="O295"/>
    </row>
    <row r="296" spans="3:15" ht="12.75" customHeight="1">
      <c r="C296" s="277"/>
      <c r="D296" s="370"/>
      <c r="F296" s="371">
        <v>34</v>
      </c>
      <c r="G296" s="372" t="s">
        <v>632</v>
      </c>
      <c r="H296" s="234"/>
      <c r="I296" s="373">
        <v>8969.14391455984</v>
      </c>
      <c r="J296" s="223"/>
      <c r="O296"/>
    </row>
    <row r="297" spans="3:15" ht="12.75" customHeight="1">
      <c r="C297" s="277"/>
      <c r="D297" s="370"/>
      <c r="F297" s="371">
        <v>83</v>
      </c>
      <c r="G297" s="372" t="s">
        <v>633</v>
      </c>
      <c r="H297" s="234"/>
      <c r="I297" s="373">
        <v>8909.843914559842</v>
      </c>
      <c r="J297" s="223"/>
      <c r="O297"/>
    </row>
    <row r="298" spans="3:15" ht="12.75" customHeight="1">
      <c r="C298" s="277"/>
      <c r="D298" s="370"/>
      <c r="F298" s="371">
        <v>40</v>
      </c>
      <c r="G298" s="372" t="s">
        <v>634</v>
      </c>
      <c r="H298" s="234"/>
      <c r="I298" s="373">
        <v>13631.369786399611</v>
      </c>
      <c r="J298" s="223"/>
      <c r="O298"/>
    </row>
    <row r="299" spans="3:15" ht="12.75" customHeight="1">
      <c r="C299" s="277"/>
      <c r="D299" s="370"/>
      <c r="F299" s="371">
        <v>0</v>
      </c>
      <c r="G299" s="372" t="s">
        <v>635</v>
      </c>
      <c r="H299" s="234"/>
      <c r="I299" s="373">
        <v>12454.706381866146</v>
      </c>
      <c r="J299" s="223"/>
      <c r="O299"/>
    </row>
    <row r="300" spans="3:15" ht="12.75" customHeight="1">
      <c r="C300" s="277"/>
      <c r="D300" s="370"/>
      <c r="F300" s="371">
        <v>38</v>
      </c>
      <c r="G300" s="372" t="s">
        <v>636</v>
      </c>
      <c r="H300" s="234"/>
      <c r="I300" s="373">
        <v>12279.977105492917</v>
      </c>
      <c r="J300" s="223"/>
      <c r="O300"/>
    </row>
    <row r="301" spans="3:15" ht="12.75" customHeight="1">
      <c r="C301" s="277"/>
      <c r="D301" s="370"/>
      <c r="F301" s="371">
        <v>32</v>
      </c>
      <c r="G301" s="372" t="s">
        <v>637</v>
      </c>
      <c r="H301" s="234"/>
      <c r="I301" s="373">
        <v>10708.94</v>
      </c>
      <c r="J301" s="223"/>
      <c r="O301"/>
    </row>
    <row r="302" spans="3:15" ht="12.75" customHeight="1" thickBot="1">
      <c r="C302" s="277"/>
      <c r="D302" s="370"/>
      <c r="F302" s="371">
        <v>27</v>
      </c>
      <c r="G302" s="372" t="s">
        <v>638</v>
      </c>
      <c r="H302" s="234"/>
      <c r="I302" s="373">
        <v>16514.012763732295</v>
      </c>
      <c r="J302" s="223"/>
      <c r="K302" s="244" t="s">
        <v>38</v>
      </c>
      <c r="O302"/>
    </row>
    <row r="303" spans="3:15" ht="12.75" customHeight="1" thickBot="1">
      <c r="C303" s="374"/>
      <c r="D303" s="370"/>
      <c r="F303" s="371">
        <v>33</v>
      </c>
      <c r="G303" s="372" t="s">
        <v>639</v>
      </c>
      <c r="H303" s="234"/>
      <c r="I303" s="373">
        <v>16451.342763732297</v>
      </c>
      <c r="J303" s="223"/>
      <c r="K303" s="360">
        <v>4108008.1972537762</v>
      </c>
      <c r="O303"/>
    </row>
    <row r="304" spans="3:15" ht="12.75" customHeight="1">
      <c r="C304" s="374"/>
      <c r="D304" s="374"/>
      <c r="F304" s="278"/>
      <c r="G304" s="311"/>
      <c r="H304" s="211"/>
      <c r="I304" s="312"/>
      <c r="J304" s="225"/>
      <c r="K304" s="242"/>
      <c r="O304"/>
    </row>
    <row r="305" spans="2:15" ht="12.75" customHeight="1">
      <c r="B305" s="802" t="s">
        <v>667</v>
      </c>
      <c r="C305" s="803"/>
      <c r="D305" s="803"/>
      <c r="E305" s="803"/>
      <c r="F305" s="803"/>
      <c r="G305" s="803"/>
      <c r="H305" s="803"/>
      <c r="I305" s="803"/>
      <c r="J305" s="249"/>
      <c r="K305" s="242"/>
      <c r="M305" s="243"/>
      <c r="O305"/>
    </row>
    <row r="306" spans="2:15" ht="42" customHeight="1">
      <c r="B306" s="799" t="s">
        <v>777</v>
      </c>
      <c r="C306" s="799"/>
      <c r="D306" s="799"/>
      <c r="E306" s="799"/>
      <c r="F306" s="799"/>
      <c r="G306" s="799"/>
      <c r="H306" s="799"/>
      <c r="I306" s="799"/>
      <c r="J306" s="250"/>
      <c r="K306" s="242"/>
      <c r="M306" s="243"/>
      <c r="O306"/>
    </row>
    <row r="307" spans="2:15" ht="47.25" customHeight="1">
      <c r="B307" s="799" t="s">
        <v>778</v>
      </c>
      <c r="C307" s="799"/>
      <c r="D307" s="799"/>
      <c r="E307" s="799"/>
      <c r="F307" s="799"/>
      <c r="G307" s="799"/>
      <c r="H307" s="799"/>
      <c r="I307" s="799"/>
      <c r="J307" s="250"/>
      <c r="K307" s="242"/>
      <c r="M307" s="243"/>
      <c r="O307"/>
    </row>
    <row r="308" spans="2:15" ht="12.75" customHeight="1">
      <c r="B308" s="799"/>
      <c r="C308" s="799"/>
      <c r="D308" s="799"/>
      <c r="E308" s="799"/>
      <c r="F308" s="799"/>
      <c r="G308" s="799"/>
      <c r="H308" s="799"/>
      <c r="I308" s="799"/>
      <c r="J308" s="250"/>
      <c r="K308" s="242"/>
      <c r="M308" s="243"/>
      <c r="O308"/>
    </row>
    <row r="309" spans="3:15" ht="12.75" customHeight="1">
      <c r="C309" s="223"/>
      <c r="D309" s="223"/>
      <c r="E309" s="223"/>
      <c r="F309" s="223"/>
      <c r="J309" s="223"/>
      <c r="O309"/>
    </row>
    <row r="310" spans="2:15" ht="12.75" customHeight="1">
      <c r="B310" s="805" t="s">
        <v>779</v>
      </c>
      <c r="C310" s="806"/>
      <c r="D310" s="806"/>
      <c r="E310" s="806"/>
      <c r="F310" s="806"/>
      <c r="G310" s="806"/>
      <c r="H310" s="806"/>
      <c r="I310" s="807"/>
      <c r="J310" s="223"/>
      <c r="K310" s="216"/>
      <c r="O310"/>
    </row>
    <row r="311" spans="2:15" ht="12.75" customHeight="1">
      <c r="B311" s="375"/>
      <c r="C311" s="375"/>
      <c r="D311" s="375"/>
      <c r="E311" s="375"/>
      <c r="F311" s="375"/>
      <c r="G311" s="376"/>
      <c r="H311" s="375"/>
      <c r="I311" s="377"/>
      <c r="J311" s="287"/>
      <c r="K311" s="216"/>
      <c r="O311"/>
    </row>
    <row r="312" spans="3:15" ht="12.75" customHeight="1" thickBot="1">
      <c r="C312" s="222"/>
      <c r="D312" s="812"/>
      <c r="E312" s="812"/>
      <c r="F312" s="812"/>
      <c r="G312" s="378"/>
      <c r="H312" s="234"/>
      <c r="I312" s="379"/>
      <c r="J312" s="223"/>
      <c r="K312" s="244" t="s">
        <v>38</v>
      </c>
      <c r="O312"/>
    </row>
    <row r="313" spans="3:15" ht="12.75" customHeight="1" thickBot="1">
      <c r="C313" s="222"/>
      <c r="D313" s="810" t="s">
        <v>780</v>
      </c>
      <c r="E313" s="810"/>
      <c r="F313" s="811"/>
      <c r="G313" s="380" t="s">
        <v>781</v>
      </c>
      <c r="H313" s="234"/>
      <c r="I313" s="373">
        <v>21.08</v>
      </c>
      <c r="J313" s="223"/>
      <c r="K313" s="360">
        <v>2148</v>
      </c>
      <c r="O313"/>
    </row>
    <row r="314" spans="3:15" ht="12.75" customHeight="1">
      <c r="C314" s="222"/>
      <c r="D314" s="222"/>
      <c r="E314" s="222"/>
      <c r="F314" s="374"/>
      <c r="G314" s="381"/>
      <c r="H314" s="211"/>
      <c r="I314" s="312"/>
      <c r="J314" s="225"/>
      <c r="K314" s="242"/>
      <c r="L314" s="180"/>
      <c r="O314"/>
    </row>
    <row r="315" spans="2:15" ht="12.75" customHeight="1">
      <c r="B315" s="802" t="s">
        <v>667</v>
      </c>
      <c r="C315" s="803"/>
      <c r="D315" s="803"/>
      <c r="E315" s="803"/>
      <c r="F315" s="803"/>
      <c r="G315" s="803"/>
      <c r="H315" s="803"/>
      <c r="I315" s="803"/>
      <c r="J315" s="249"/>
      <c r="K315" s="242"/>
      <c r="M315" s="243"/>
      <c r="O315"/>
    </row>
    <row r="316" spans="2:15" ht="35.25" customHeight="1">
      <c r="B316" s="799" t="s">
        <v>782</v>
      </c>
      <c r="C316" s="799"/>
      <c r="D316" s="799"/>
      <c r="E316" s="799"/>
      <c r="F316" s="799"/>
      <c r="G316" s="799"/>
      <c r="H316" s="799"/>
      <c r="I316" s="799"/>
      <c r="J316" s="250"/>
      <c r="K316" s="242"/>
      <c r="M316" s="243"/>
      <c r="O316"/>
    </row>
    <row r="317" spans="3:15" ht="12.75" customHeight="1">
      <c r="C317" s="223"/>
      <c r="D317" s="223"/>
      <c r="E317" s="223"/>
      <c r="F317" s="223"/>
      <c r="J317" s="223"/>
      <c r="K317" s="216"/>
      <c r="O317"/>
    </row>
    <row r="318" spans="2:15" ht="12.75" customHeight="1">
      <c r="B318" s="805" t="s">
        <v>783</v>
      </c>
      <c r="C318" s="806"/>
      <c r="D318" s="806"/>
      <c r="E318" s="806"/>
      <c r="F318" s="806"/>
      <c r="G318" s="806"/>
      <c r="H318" s="806"/>
      <c r="I318" s="807"/>
      <c r="J318" s="287"/>
      <c r="K318" s="216"/>
      <c r="O318"/>
    </row>
    <row r="319" spans="2:15" ht="12.75" customHeight="1">
      <c r="B319" s="289"/>
      <c r="C319" s="382"/>
      <c r="D319" s="382"/>
      <c r="E319" s="382"/>
      <c r="F319" s="382"/>
      <c r="G319" s="383"/>
      <c r="H319" s="382"/>
      <c r="I319" s="384"/>
      <c r="J319" s="287"/>
      <c r="K319" s="216"/>
      <c r="O319"/>
    </row>
    <row r="320" spans="3:15" ht="12.75" customHeight="1" thickBot="1">
      <c r="C320" s="223"/>
      <c r="D320" s="812"/>
      <c r="E320" s="812"/>
      <c r="F320" s="813"/>
      <c r="G320" s="385"/>
      <c r="H320" s="234"/>
      <c r="I320" s="379"/>
      <c r="J320" s="223"/>
      <c r="K320" s="244" t="s">
        <v>38</v>
      </c>
      <c r="O320"/>
    </row>
    <row r="321" spans="3:15" ht="12.75" customHeight="1" thickBot="1">
      <c r="C321" s="231" t="s">
        <v>706</v>
      </c>
      <c r="D321" s="812"/>
      <c r="E321" s="812"/>
      <c r="F321" s="813"/>
      <c r="G321" s="385">
        <v>0</v>
      </c>
      <c r="H321" s="234">
        <v>0</v>
      </c>
      <c r="I321" s="379"/>
      <c r="J321" s="223"/>
      <c r="K321" s="360">
        <v>0</v>
      </c>
      <c r="M321" s="243"/>
      <c r="O321"/>
    </row>
    <row r="322" spans="3:15" ht="12.75" customHeight="1">
      <c r="C322" s="231"/>
      <c r="D322" s="231"/>
      <c r="E322" s="231"/>
      <c r="F322" s="307"/>
      <c r="G322" s="311"/>
      <c r="H322" s="211"/>
      <c r="I322" s="312"/>
      <c r="J322" s="225"/>
      <c r="K322" s="242"/>
      <c r="M322" s="243"/>
      <c r="O322"/>
    </row>
    <row r="323" spans="2:15" ht="12.75" customHeight="1">
      <c r="B323" s="802" t="s">
        <v>667</v>
      </c>
      <c r="C323" s="803"/>
      <c r="D323" s="803"/>
      <c r="E323" s="803"/>
      <c r="F323" s="803"/>
      <c r="G323" s="803"/>
      <c r="H323" s="803"/>
      <c r="I323" s="803"/>
      <c r="J323" s="249"/>
      <c r="K323" s="242"/>
      <c r="M323" s="243"/>
      <c r="O323"/>
    </row>
    <row r="324" spans="2:15" ht="12.75" customHeight="1">
      <c r="B324" s="804" t="s">
        <v>784</v>
      </c>
      <c r="C324" s="804"/>
      <c r="D324" s="804"/>
      <c r="E324" s="804"/>
      <c r="F324" s="804"/>
      <c r="G324" s="804"/>
      <c r="H324" s="804"/>
      <c r="I324" s="804"/>
      <c r="J324" s="250"/>
      <c r="K324" s="242"/>
      <c r="M324" s="243"/>
      <c r="O324"/>
    </row>
    <row r="325" spans="3:15" ht="12.75" customHeight="1">
      <c r="C325" s="231"/>
      <c r="D325" s="231"/>
      <c r="E325" s="231"/>
      <c r="F325" s="307"/>
      <c r="G325" s="286"/>
      <c r="H325" s="211"/>
      <c r="I325" s="261"/>
      <c r="J325" s="225"/>
      <c r="K325" s="242"/>
      <c r="M325" s="243"/>
      <c r="O325"/>
    </row>
    <row r="326" spans="2:15" ht="12.75" customHeight="1">
      <c r="B326" s="805" t="s">
        <v>785</v>
      </c>
      <c r="C326" s="806"/>
      <c r="D326" s="806"/>
      <c r="E326" s="806"/>
      <c r="F326" s="806"/>
      <c r="G326" s="806"/>
      <c r="H326" s="806"/>
      <c r="I326" s="807"/>
      <c r="J326" s="347"/>
      <c r="K326" s="216"/>
      <c r="O326"/>
    </row>
    <row r="327" spans="2:15" ht="12.75" customHeight="1">
      <c r="B327" s="289"/>
      <c r="C327" s="382"/>
      <c r="D327" s="382"/>
      <c r="E327" s="382"/>
      <c r="F327" s="382"/>
      <c r="G327" s="386"/>
      <c r="H327" s="387"/>
      <c r="I327" s="388"/>
      <c r="J327" s="347"/>
      <c r="K327" s="216"/>
      <c r="O327"/>
    </row>
    <row r="328" spans="3:15" ht="12.75" customHeight="1">
      <c r="C328" s="222"/>
      <c r="D328" s="810" t="s">
        <v>748</v>
      </c>
      <c r="E328" s="810"/>
      <c r="F328" s="811"/>
      <c r="G328" s="389" t="s">
        <v>786</v>
      </c>
      <c r="H328" s="234"/>
      <c r="I328" s="390">
        <v>17.71</v>
      </c>
      <c r="J328" s="223"/>
      <c r="O328"/>
    </row>
    <row r="329" spans="3:15" ht="12.75" customHeight="1" thickBot="1">
      <c r="C329" s="223"/>
      <c r="D329" s="810" t="s">
        <v>750</v>
      </c>
      <c r="E329" s="810"/>
      <c r="F329" s="811"/>
      <c r="G329" s="391" t="s">
        <v>787</v>
      </c>
      <c r="H329" s="234"/>
      <c r="I329" s="373">
        <v>30.32</v>
      </c>
      <c r="J329" s="223"/>
      <c r="K329" s="244" t="s">
        <v>38</v>
      </c>
      <c r="O329"/>
    </row>
    <row r="330" spans="3:15" ht="12.75" customHeight="1" thickBot="1">
      <c r="C330" s="222"/>
      <c r="D330" s="810" t="s">
        <v>569</v>
      </c>
      <c r="E330" s="810"/>
      <c r="F330" s="811"/>
      <c r="G330" s="391" t="s">
        <v>788</v>
      </c>
      <c r="H330" s="234"/>
      <c r="I330" s="373" t="s">
        <v>599</v>
      </c>
      <c r="J330" s="223"/>
      <c r="K330" s="360">
        <v>189821</v>
      </c>
      <c r="O330"/>
    </row>
    <row r="331" spans="2:15" ht="12.75" customHeight="1">
      <c r="B331" s="180"/>
      <c r="C331" s="392"/>
      <c r="D331" s="392"/>
      <c r="E331" s="392"/>
      <c r="F331" s="355"/>
      <c r="G331" s="311"/>
      <c r="H331" s="211"/>
      <c r="I331" s="312"/>
      <c r="J331" s="225"/>
      <c r="K331" s="242"/>
      <c r="L331" s="180"/>
      <c r="M331" s="358"/>
      <c r="N331" s="180"/>
      <c r="O331"/>
    </row>
    <row r="332" spans="2:15" ht="12.75" customHeight="1">
      <c r="B332" s="802" t="s">
        <v>667</v>
      </c>
      <c r="C332" s="803"/>
      <c r="D332" s="803"/>
      <c r="E332" s="803"/>
      <c r="F332" s="803"/>
      <c r="G332" s="803"/>
      <c r="H332" s="803"/>
      <c r="I332" s="803"/>
      <c r="J332" s="249"/>
      <c r="K332" s="242"/>
      <c r="M332" s="243"/>
      <c r="O332"/>
    </row>
    <row r="333" spans="2:15" ht="12.75" customHeight="1">
      <c r="B333" s="799" t="s">
        <v>789</v>
      </c>
      <c r="C333" s="799"/>
      <c r="D333" s="799"/>
      <c r="E333" s="799"/>
      <c r="F333" s="799"/>
      <c r="G333" s="799"/>
      <c r="H333" s="799"/>
      <c r="I333" s="799"/>
      <c r="J333" s="250"/>
      <c r="K333" s="242"/>
      <c r="M333" s="243"/>
      <c r="O333"/>
    </row>
    <row r="334" spans="2:15" ht="12.75" customHeight="1">
      <c r="B334" s="799" t="s">
        <v>790</v>
      </c>
      <c r="C334" s="799"/>
      <c r="D334" s="799"/>
      <c r="E334" s="799"/>
      <c r="F334" s="799"/>
      <c r="G334" s="799"/>
      <c r="H334" s="799"/>
      <c r="I334" s="799"/>
      <c r="J334" s="250"/>
      <c r="K334" s="242"/>
      <c r="M334" s="243"/>
      <c r="O334"/>
    </row>
    <row r="335" spans="2:15" ht="12.75" customHeight="1">
      <c r="B335" s="799" t="s">
        <v>791</v>
      </c>
      <c r="C335" s="799"/>
      <c r="D335" s="799"/>
      <c r="E335" s="799"/>
      <c r="F335" s="799"/>
      <c r="G335" s="799"/>
      <c r="H335" s="799"/>
      <c r="I335" s="799"/>
      <c r="J335" s="250"/>
      <c r="K335" s="242"/>
      <c r="M335" s="243"/>
      <c r="O335"/>
    </row>
    <row r="336" spans="3:15" ht="12.75" customHeight="1">
      <c r="C336" s="223"/>
      <c r="D336" s="223"/>
      <c r="E336" s="223"/>
      <c r="J336" s="223"/>
      <c r="K336" s="216"/>
      <c r="O336"/>
    </row>
    <row r="337" spans="2:15" ht="12.75" customHeight="1">
      <c r="B337" s="805" t="s">
        <v>792</v>
      </c>
      <c r="C337" s="806"/>
      <c r="D337" s="806"/>
      <c r="E337" s="806"/>
      <c r="F337" s="806"/>
      <c r="G337" s="806"/>
      <c r="H337" s="806"/>
      <c r="I337" s="807"/>
      <c r="J337" s="287"/>
      <c r="K337" s="216"/>
      <c r="O337"/>
    </row>
    <row r="338" spans="3:15" ht="12.75" customHeight="1">
      <c r="C338" s="315"/>
      <c r="D338" s="315"/>
      <c r="E338" s="315"/>
      <c r="F338" s="287"/>
      <c r="G338" s="311"/>
      <c r="H338" s="287"/>
      <c r="I338" s="312"/>
      <c r="J338" s="223"/>
      <c r="K338" s="216"/>
      <c r="O338"/>
    </row>
    <row r="339" spans="2:14" s="180" customFormat="1" ht="12.75" customHeight="1">
      <c r="B339"/>
      <c r="C339" s="222"/>
      <c r="D339" s="810" t="s">
        <v>793</v>
      </c>
      <c r="E339" s="810"/>
      <c r="F339" s="811"/>
      <c r="G339" s="389" t="s">
        <v>794</v>
      </c>
      <c r="H339" s="234"/>
      <c r="I339" s="379">
        <v>131686</v>
      </c>
      <c r="J339" s="223"/>
      <c r="K339" s="194"/>
      <c r="L339"/>
      <c r="M339" s="195"/>
      <c r="N339"/>
    </row>
    <row r="340" spans="3:15" ht="12.75" customHeight="1">
      <c r="C340" s="222"/>
      <c r="D340" s="810" t="s">
        <v>793</v>
      </c>
      <c r="E340" s="810"/>
      <c r="F340" s="811"/>
      <c r="G340" s="391" t="s">
        <v>795</v>
      </c>
      <c r="H340" s="234"/>
      <c r="I340" s="379">
        <v>123707</v>
      </c>
      <c r="J340" s="223"/>
      <c r="O340"/>
    </row>
    <row r="341" spans="3:15" ht="12.75" customHeight="1" thickBot="1">
      <c r="C341" s="222"/>
      <c r="D341" s="810" t="s">
        <v>793</v>
      </c>
      <c r="E341" s="810"/>
      <c r="F341" s="811"/>
      <c r="G341" s="391" t="s">
        <v>796</v>
      </c>
      <c r="H341" s="234"/>
      <c r="I341" s="379">
        <v>127839</v>
      </c>
      <c r="J341" s="223"/>
      <c r="K341" s="244" t="s">
        <v>38</v>
      </c>
      <c r="O341"/>
    </row>
    <row r="342" spans="3:15" ht="23.25" thickBot="1">
      <c r="C342" s="222"/>
      <c r="D342" s="810" t="s">
        <v>797</v>
      </c>
      <c r="E342" s="810"/>
      <c r="F342" s="811"/>
      <c r="G342" s="385" t="s">
        <v>798</v>
      </c>
      <c r="H342" s="234"/>
      <c r="I342" s="373">
        <v>0.16</v>
      </c>
      <c r="J342" s="223"/>
      <c r="K342" s="360">
        <v>647173</v>
      </c>
      <c r="O342"/>
    </row>
    <row r="343" spans="2:15" ht="12.75" customHeight="1">
      <c r="B343" s="180"/>
      <c r="C343" s="392"/>
      <c r="D343" s="392"/>
      <c r="E343" s="392"/>
      <c r="F343" s="355"/>
      <c r="G343" s="311"/>
      <c r="H343" s="211"/>
      <c r="I343" s="312"/>
      <c r="J343" s="225"/>
      <c r="K343" s="242"/>
      <c r="L343" s="180"/>
      <c r="M343" s="358"/>
      <c r="N343" s="180"/>
      <c r="O343"/>
    </row>
    <row r="344" spans="2:15" ht="12.75" customHeight="1">
      <c r="B344" s="802" t="s">
        <v>667</v>
      </c>
      <c r="C344" s="803"/>
      <c r="D344" s="803"/>
      <c r="E344" s="803"/>
      <c r="F344" s="803"/>
      <c r="G344" s="803"/>
      <c r="H344" s="803"/>
      <c r="I344" s="803"/>
      <c r="J344" s="249"/>
      <c r="K344" s="242"/>
      <c r="M344" s="243"/>
      <c r="O344"/>
    </row>
    <row r="345" spans="2:15" ht="25.5" customHeight="1">
      <c r="B345" s="799" t="s">
        <v>1</v>
      </c>
      <c r="C345" s="799"/>
      <c r="D345" s="799"/>
      <c r="E345" s="799"/>
      <c r="F345" s="799"/>
      <c r="G345" s="799"/>
      <c r="H345" s="799"/>
      <c r="I345" s="799"/>
      <c r="J345" s="250"/>
      <c r="K345" s="242"/>
      <c r="M345" s="243"/>
      <c r="O345"/>
    </row>
    <row r="346" spans="2:14" s="180" customFormat="1" ht="40.5" customHeight="1">
      <c r="B346" s="799" t="s">
        <v>2</v>
      </c>
      <c r="C346" s="799"/>
      <c r="D346" s="799"/>
      <c r="E346" s="799"/>
      <c r="F346" s="799"/>
      <c r="G346" s="799"/>
      <c r="H346" s="799"/>
      <c r="I346" s="799"/>
      <c r="J346" s="250"/>
      <c r="K346" s="242"/>
      <c r="L346"/>
      <c r="M346" s="243"/>
      <c r="N346"/>
    </row>
    <row r="347" spans="3:15" ht="12.75" customHeight="1">
      <c r="C347" s="222"/>
      <c r="D347" s="222"/>
      <c r="E347" s="222"/>
      <c r="J347" s="223"/>
      <c r="K347" s="216"/>
      <c r="O347"/>
    </row>
    <row r="348" spans="2:15" ht="12.75" customHeight="1">
      <c r="B348" s="805" t="s">
        <v>3</v>
      </c>
      <c r="C348" s="806"/>
      <c r="D348" s="806"/>
      <c r="E348" s="806"/>
      <c r="F348" s="806"/>
      <c r="G348" s="806"/>
      <c r="H348" s="806"/>
      <c r="I348" s="807"/>
      <c r="O348"/>
    </row>
    <row r="349" spans="2:15" ht="12.75" customHeight="1" thickBot="1">
      <c r="B349" s="177"/>
      <c r="C349" s="800"/>
      <c r="D349" s="800"/>
      <c r="E349" s="800"/>
      <c r="F349" s="808"/>
      <c r="G349" s="808"/>
      <c r="H349" s="808"/>
      <c r="I349" s="808"/>
      <c r="K349" s="244" t="s">
        <v>38</v>
      </c>
      <c r="O349"/>
    </row>
    <row r="350" spans="2:15" ht="12.75" customHeight="1" thickBot="1">
      <c r="B350" s="245"/>
      <c r="C350" s="801"/>
      <c r="D350" s="801"/>
      <c r="E350" s="801"/>
      <c r="F350" s="801"/>
      <c r="G350" s="801"/>
      <c r="H350" s="801"/>
      <c r="I350" s="801"/>
      <c r="K350" s="360">
        <v>0</v>
      </c>
      <c r="O350"/>
    </row>
    <row r="351" spans="2:15" ht="12.75" customHeight="1">
      <c r="B351" s="802" t="s">
        <v>667</v>
      </c>
      <c r="C351" s="803"/>
      <c r="D351" s="803"/>
      <c r="E351" s="803"/>
      <c r="F351" s="803"/>
      <c r="G351" s="803"/>
      <c r="H351" s="803"/>
      <c r="I351" s="803"/>
      <c r="J351" s="249"/>
      <c r="K351" s="242"/>
      <c r="M351" s="243"/>
      <c r="O351"/>
    </row>
    <row r="352" spans="2:15" ht="12.75" customHeight="1">
      <c r="B352" s="804" t="s">
        <v>784</v>
      </c>
      <c r="C352" s="804"/>
      <c r="D352" s="804"/>
      <c r="E352" s="804"/>
      <c r="F352" s="804"/>
      <c r="G352" s="804"/>
      <c r="H352" s="804"/>
      <c r="I352" s="804"/>
      <c r="J352" s="250"/>
      <c r="K352" s="242"/>
      <c r="M352" s="243"/>
      <c r="O352"/>
    </row>
    <row r="353" spans="2:14" s="180" customFormat="1" ht="12.75" customHeight="1">
      <c r="B353"/>
      <c r="C353" s="196"/>
      <c r="D353" s="196"/>
      <c r="E353" s="196"/>
      <c r="F353"/>
      <c r="G353" s="192"/>
      <c r="H353"/>
      <c r="I353" s="193"/>
      <c r="J353"/>
      <c r="K353" s="216"/>
      <c r="L353"/>
      <c r="M353" s="195"/>
      <c r="N353"/>
    </row>
    <row r="354" spans="2:14" s="180" customFormat="1" ht="12.75" customHeight="1">
      <c r="B354"/>
      <c r="C354" s="196"/>
      <c r="D354" s="196"/>
      <c r="E354" s="196"/>
      <c r="F354"/>
      <c r="G354" s="192"/>
      <c r="H354"/>
      <c r="I354" s="193"/>
      <c r="J354"/>
      <c r="K354" s="216"/>
      <c r="L354"/>
      <c r="M354" s="195"/>
      <c r="N354"/>
    </row>
    <row r="355" spans="2:15" ht="12.75" customHeight="1">
      <c r="B355" s="805" t="s">
        <v>4</v>
      </c>
      <c r="C355" s="806"/>
      <c r="D355" s="806"/>
      <c r="E355" s="806"/>
      <c r="F355" s="806"/>
      <c r="G355" s="806"/>
      <c r="H355" s="806"/>
      <c r="I355" s="807"/>
      <c r="O355"/>
    </row>
    <row r="356" spans="2:15" ht="12.75" customHeight="1">
      <c r="B356" s="359"/>
      <c r="C356" s="794"/>
      <c r="D356" s="794"/>
      <c r="E356" s="794"/>
      <c r="F356" s="794"/>
      <c r="G356" s="794"/>
      <c r="H356" s="794"/>
      <c r="I356" s="794"/>
      <c r="O356"/>
    </row>
    <row r="357" spans="2:15" ht="12.75" customHeight="1" thickBot="1">
      <c r="B357" s="177"/>
      <c r="C357" s="795"/>
      <c r="D357" s="795"/>
      <c r="E357" s="795"/>
      <c r="F357" s="795"/>
      <c r="G357" s="795"/>
      <c r="H357" s="795"/>
      <c r="I357" s="795"/>
      <c r="K357" s="244" t="s">
        <v>38</v>
      </c>
      <c r="O357"/>
    </row>
    <row r="358" spans="2:15" ht="12.75" customHeight="1" thickBot="1">
      <c r="B358" s="245"/>
      <c r="C358" s="809"/>
      <c r="D358" s="809"/>
      <c r="E358" s="809"/>
      <c r="F358" s="809"/>
      <c r="G358" s="809"/>
      <c r="H358" s="809"/>
      <c r="I358" s="809"/>
      <c r="K358" s="360">
        <v>0</v>
      </c>
      <c r="O358"/>
    </row>
    <row r="359" spans="2:15" ht="12.75" customHeight="1">
      <c r="B359" s="802" t="s">
        <v>667</v>
      </c>
      <c r="C359" s="803"/>
      <c r="D359" s="803"/>
      <c r="E359" s="803"/>
      <c r="F359" s="803"/>
      <c r="G359" s="803"/>
      <c r="H359" s="803"/>
      <c r="I359" s="803"/>
      <c r="J359" s="249"/>
      <c r="K359" s="242"/>
      <c r="M359" s="243"/>
      <c r="O359"/>
    </row>
    <row r="360" spans="2:15" ht="12.75" customHeight="1">
      <c r="B360" s="804" t="s">
        <v>784</v>
      </c>
      <c r="C360" s="804"/>
      <c r="D360" s="804"/>
      <c r="E360" s="804"/>
      <c r="F360" s="804"/>
      <c r="G360" s="804"/>
      <c r="H360" s="804"/>
      <c r="I360" s="804"/>
      <c r="J360" s="250"/>
      <c r="K360" s="242"/>
      <c r="M360" s="243"/>
      <c r="O360"/>
    </row>
    <row r="361" spans="2:15" ht="12.75" customHeight="1">
      <c r="B361" s="198"/>
      <c r="C361" s="198"/>
      <c r="D361" s="198"/>
      <c r="E361" s="198"/>
      <c r="F361" s="198"/>
      <c r="G361" s="334"/>
      <c r="H361" s="198"/>
      <c r="I361" s="335"/>
      <c r="J361" s="198"/>
      <c r="K361" s="242"/>
      <c r="M361" s="243"/>
      <c r="O361"/>
    </row>
    <row r="362" spans="2:15" ht="12.75" customHeight="1">
      <c r="B362" s="805" t="s">
        <v>5</v>
      </c>
      <c r="C362" s="806"/>
      <c r="D362" s="806"/>
      <c r="E362" s="806"/>
      <c r="F362" s="806"/>
      <c r="G362" s="806"/>
      <c r="H362" s="806"/>
      <c r="I362" s="807"/>
      <c r="O362"/>
    </row>
    <row r="363" spans="2:15" ht="12.75" customHeight="1" thickBot="1">
      <c r="B363" s="177"/>
      <c r="C363" s="800"/>
      <c r="D363" s="800"/>
      <c r="E363" s="800"/>
      <c r="F363" s="808"/>
      <c r="G363" s="808"/>
      <c r="H363" s="808"/>
      <c r="I363" s="808"/>
      <c r="K363" s="244" t="s">
        <v>38</v>
      </c>
      <c r="O363"/>
    </row>
    <row r="364" spans="2:15" ht="12.75" customHeight="1" thickBot="1">
      <c r="B364" s="245"/>
      <c r="C364" s="801"/>
      <c r="D364" s="801"/>
      <c r="E364" s="801"/>
      <c r="F364" s="801"/>
      <c r="G364" s="801"/>
      <c r="H364" s="801"/>
      <c r="I364" s="801"/>
      <c r="K364" s="360">
        <v>20317</v>
      </c>
      <c r="O364"/>
    </row>
    <row r="365" spans="2:15" ht="12.75" customHeight="1">
      <c r="B365" s="802" t="s">
        <v>667</v>
      </c>
      <c r="C365" s="803"/>
      <c r="D365" s="803"/>
      <c r="E365" s="803"/>
      <c r="F365" s="803"/>
      <c r="G365" s="803"/>
      <c r="H365" s="803"/>
      <c r="I365" s="803"/>
      <c r="J365" s="249"/>
      <c r="K365" s="242"/>
      <c r="M365" s="243"/>
      <c r="O365"/>
    </row>
    <row r="366" spans="2:15" ht="12.75" customHeight="1">
      <c r="B366" s="799" t="s">
        <v>6</v>
      </c>
      <c r="C366" s="799"/>
      <c r="D366" s="799"/>
      <c r="E366" s="799"/>
      <c r="F366" s="799"/>
      <c r="G366" s="799"/>
      <c r="H366" s="799"/>
      <c r="I366" s="799"/>
      <c r="J366" s="250"/>
      <c r="K366" s="242"/>
      <c r="M366" s="243"/>
      <c r="O366"/>
    </row>
    <row r="367" spans="2:15" ht="31.5" customHeight="1">
      <c r="B367" s="799" t="s">
        <v>7</v>
      </c>
      <c r="C367" s="799"/>
      <c r="D367" s="799"/>
      <c r="E367" s="799"/>
      <c r="F367" s="799"/>
      <c r="G367" s="799"/>
      <c r="H367" s="799"/>
      <c r="I367" s="799"/>
      <c r="J367" s="250"/>
      <c r="K367" s="242"/>
      <c r="M367" s="243"/>
      <c r="O367"/>
    </row>
    <row r="368" spans="2:15" ht="25.5" customHeight="1">
      <c r="B368" s="799" t="s">
        <v>8</v>
      </c>
      <c r="C368" s="799"/>
      <c r="D368" s="799"/>
      <c r="E368" s="799"/>
      <c r="F368" s="799"/>
      <c r="G368" s="799"/>
      <c r="H368" s="799"/>
      <c r="I368" s="799"/>
      <c r="J368" s="250"/>
      <c r="K368" s="242"/>
      <c r="M368" s="243"/>
      <c r="O368"/>
    </row>
    <row r="369" spans="2:15" ht="12.75" customHeight="1">
      <c r="B369" s="799" t="s">
        <v>9</v>
      </c>
      <c r="C369" s="799"/>
      <c r="D369" s="799"/>
      <c r="E369" s="799"/>
      <c r="F369" s="799"/>
      <c r="G369" s="799"/>
      <c r="H369" s="799"/>
      <c r="I369" s="799"/>
      <c r="J369" s="250"/>
      <c r="K369" s="242"/>
      <c r="M369" s="243"/>
      <c r="O369"/>
    </row>
    <row r="370" spans="2:14" s="180" customFormat="1" ht="12.75" customHeight="1">
      <c r="B370"/>
      <c r="C370" s="196"/>
      <c r="D370" s="196"/>
      <c r="E370" s="196"/>
      <c r="F370"/>
      <c r="G370" s="192"/>
      <c r="H370"/>
      <c r="I370" s="193"/>
      <c r="J370"/>
      <c r="K370" s="216"/>
      <c r="L370"/>
      <c r="M370" s="195"/>
      <c r="N370"/>
    </row>
    <row r="371" spans="2:15" ht="12.75" customHeight="1">
      <c r="B371" s="791" t="s">
        <v>10</v>
      </c>
      <c r="C371" s="792"/>
      <c r="D371" s="792"/>
      <c r="E371" s="792"/>
      <c r="F371" s="792"/>
      <c r="G371" s="792"/>
      <c r="H371" s="792"/>
      <c r="I371" s="793"/>
      <c r="O371"/>
    </row>
    <row r="372" spans="2:15" ht="12.75" customHeight="1" thickBot="1">
      <c r="B372" s="393"/>
      <c r="C372" s="394"/>
      <c r="D372" s="394"/>
      <c r="E372" s="394"/>
      <c r="F372" s="394"/>
      <c r="G372" s="395"/>
      <c r="H372" s="394"/>
      <c r="I372" s="396"/>
      <c r="K372" s="244" t="s">
        <v>38</v>
      </c>
      <c r="O372"/>
    </row>
    <row r="373" spans="2:15" ht="12.75" customHeight="1" thickBot="1">
      <c r="B373" s="177"/>
      <c r="C373" s="800"/>
      <c r="D373" s="800"/>
      <c r="E373" s="800"/>
      <c r="F373" s="800"/>
      <c r="G373" s="800"/>
      <c r="H373" s="800"/>
      <c r="I373" s="800"/>
      <c r="K373" s="360">
        <f>+K364+K358+K350+K342+K330+K321+K313+K303</f>
        <v>4967467.197253777</v>
      </c>
      <c r="M373" s="194"/>
      <c r="O373"/>
    </row>
    <row r="374" spans="2:15" ht="12.75" customHeight="1">
      <c r="B374" s="177"/>
      <c r="C374" s="307"/>
      <c r="D374" s="307"/>
      <c r="E374" s="307"/>
      <c r="F374" s="307"/>
      <c r="G374" s="308"/>
      <c r="H374" s="307"/>
      <c r="I374" s="309"/>
      <c r="O374"/>
    </row>
    <row r="375" spans="2:15" ht="12.75" customHeight="1">
      <c r="B375" s="791" t="s">
        <v>11</v>
      </c>
      <c r="C375" s="792"/>
      <c r="D375" s="792"/>
      <c r="E375" s="792"/>
      <c r="F375" s="792"/>
      <c r="G375" s="792"/>
      <c r="H375" s="792"/>
      <c r="I375" s="793"/>
      <c r="O375"/>
    </row>
    <row r="376" spans="2:15" ht="12.75" customHeight="1" thickBot="1">
      <c r="B376" s="359"/>
      <c r="C376" s="794"/>
      <c r="D376" s="794"/>
      <c r="E376" s="794"/>
      <c r="F376" s="794"/>
      <c r="G376" s="794"/>
      <c r="H376" s="794"/>
      <c r="I376" s="794"/>
      <c r="K376" s="244" t="s">
        <v>12</v>
      </c>
      <c r="O376"/>
    </row>
    <row r="377" spans="2:15" ht="12.75" customHeight="1" thickBot="1">
      <c r="B377" s="177"/>
      <c r="C377" s="795" t="s">
        <v>209</v>
      </c>
      <c r="D377" s="795"/>
      <c r="E377" s="795"/>
      <c r="F377" s="795"/>
      <c r="G377" s="795"/>
      <c r="H377" s="795"/>
      <c r="I377" s="795"/>
      <c r="K377" s="360">
        <f>+K373+K286+K284</f>
        <v>105212351.74142045</v>
      </c>
      <c r="O377"/>
    </row>
    <row r="378" ht="12.75" customHeight="1">
      <c r="K378" s="216"/>
    </row>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sheetData>
  <mergeCells count="256">
    <mergeCell ref="C3:K3"/>
    <mergeCell ref="B4:I4"/>
    <mergeCell ref="B5:J5"/>
    <mergeCell ref="A1:I1"/>
    <mergeCell ref="B6:J6"/>
    <mergeCell ref="B10:I10"/>
    <mergeCell ref="C25:J25"/>
    <mergeCell ref="C26:J26"/>
    <mergeCell ref="B27:I27"/>
    <mergeCell ref="B28:I28"/>
    <mergeCell ref="B29:I29"/>
    <mergeCell ref="B30:I30"/>
    <mergeCell ref="C32:I32"/>
    <mergeCell ref="D34:F34"/>
    <mergeCell ref="D35:F35"/>
    <mergeCell ref="D37:F37"/>
    <mergeCell ref="B39:I39"/>
    <mergeCell ref="B40:I40"/>
    <mergeCell ref="B41:I41"/>
    <mergeCell ref="B42:I42"/>
    <mergeCell ref="B43:I43"/>
    <mergeCell ref="B44:I44"/>
    <mergeCell ref="B46:F46"/>
    <mergeCell ref="E47:F47"/>
    <mergeCell ref="E49:F49"/>
    <mergeCell ref="E50:F50"/>
    <mergeCell ref="E51:F51"/>
    <mergeCell ref="E52:F52"/>
    <mergeCell ref="C53:C56"/>
    <mergeCell ref="E53:F53"/>
    <mergeCell ref="E54:F54"/>
    <mergeCell ref="E55:F55"/>
    <mergeCell ref="E56:F56"/>
    <mergeCell ref="C57:C59"/>
    <mergeCell ref="E57:F57"/>
    <mergeCell ref="E58:F58"/>
    <mergeCell ref="E59:F59"/>
    <mergeCell ref="C60:C61"/>
    <mergeCell ref="E60:F60"/>
    <mergeCell ref="E61:F61"/>
    <mergeCell ref="B63:G63"/>
    <mergeCell ref="B65:I65"/>
    <mergeCell ref="B66:I66"/>
    <mergeCell ref="B67:I67"/>
    <mergeCell ref="B68:I68"/>
    <mergeCell ref="B70:I70"/>
    <mergeCell ref="C74:I74"/>
    <mergeCell ref="C75:I75"/>
    <mergeCell ref="B76:I76"/>
    <mergeCell ref="B77:I77"/>
    <mergeCell ref="B79:I79"/>
    <mergeCell ref="D81:F81"/>
    <mergeCell ref="D82:F82"/>
    <mergeCell ref="C84:I84"/>
    <mergeCell ref="C85:I85"/>
    <mergeCell ref="B86:I86"/>
    <mergeCell ref="B87:I87"/>
    <mergeCell ref="B89:I89"/>
    <mergeCell ref="D91:F91"/>
    <mergeCell ref="D92:F92"/>
    <mergeCell ref="D93:F93"/>
    <mergeCell ref="B95:I95"/>
    <mergeCell ref="B96:I96"/>
    <mergeCell ref="B98:I98"/>
    <mergeCell ref="B100:I100"/>
    <mergeCell ref="C102:D102"/>
    <mergeCell ref="D103:F103"/>
    <mergeCell ref="D104:F104"/>
    <mergeCell ref="C105:D105"/>
    <mergeCell ref="D106:F106"/>
    <mergeCell ref="D107:F107"/>
    <mergeCell ref="B109:I109"/>
    <mergeCell ref="C111:D111"/>
    <mergeCell ref="D112:F112"/>
    <mergeCell ref="D113:F113"/>
    <mergeCell ref="D114:F114"/>
    <mergeCell ref="D115:F115"/>
    <mergeCell ref="D116:F116"/>
    <mergeCell ref="D117:F117"/>
    <mergeCell ref="D118:F118"/>
    <mergeCell ref="D119:F119"/>
    <mergeCell ref="D120:F120"/>
    <mergeCell ref="C121:D121"/>
    <mergeCell ref="D122:F122"/>
    <mergeCell ref="D123:F123"/>
    <mergeCell ref="D124:F124"/>
    <mergeCell ref="D125:F125"/>
    <mergeCell ref="D126:F126"/>
    <mergeCell ref="D127:F127"/>
    <mergeCell ref="D128:F128"/>
    <mergeCell ref="B130:I130"/>
    <mergeCell ref="B131:I131"/>
    <mergeCell ref="B132:I132"/>
    <mergeCell ref="B133:I133"/>
    <mergeCell ref="B134:I134"/>
    <mergeCell ref="B136:I136"/>
    <mergeCell ref="B138:I138"/>
    <mergeCell ref="D142:F142"/>
    <mergeCell ref="C143:D143"/>
    <mergeCell ref="C140:D140"/>
    <mergeCell ref="D141:F141"/>
    <mergeCell ref="D144:F144"/>
    <mergeCell ref="D145:F145"/>
    <mergeCell ref="B147:I147"/>
    <mergeCell ref="C149:D149"/>
    <mergeCell ref="C152:D152"/>
    <mergeCell ref="D153:F153"/>
    <mergeCell ref="D150:F150"/>
    <mergeCell ref="D151:F151"/>
    <mergeCell ref="D154:F154"/>
    <mergeCell ref="B156:I156"/>
    <mergeCell ref="B157:I157"/>
    <mergeCell ref="B158:I158"/>
    <mergeCell ref="B159:I159"/>
    <mergeCell ref="B162:I162"/>
    <mergeCell ref="B164:I164"/>
    <mergeCell ref="C165:D165"/>
    <mergeCell ref="D166:F166"/>
    <mergeCell ref="D167:F167"/>
    <mergeCell ref="D168:F168"/>
    <mergeCell ref="C169:D169"/>
    <mergeCell ref="D170:F170"/>
    <mergeCell ref="D171:F171"/>
    <mergeCell ref="D172:F172"/>
    <mergeCell ref="B174:I174"/>
    <mergeCell ref="B175:I175"/>
    <mergeCell ref="B177:I177"/>
    <mergeCell ref="C179:D179"/>
    <mergeCell ref="D180:F180"/>
    <mergeCell ref="D181:F181"/>
    <mergeCell ref="C182:D182"/>
    <mergeCell ref="D183:F183"/>
    <mergeCell ref="D184:F184"/>
    <mergeCell ref="B186:I186"/>
    <mergeCell ref="B187:I187"/>
    <mergeCell ref="B189:I189"/>
    <mergeCell ref="C191:D191"/>
    <mergeCell ref="D192:F192"/>
    <mergeCell ref="D193:F193"/>
    <mergeCell ref="D194:F194"/>
    <mergeCell ref="D195:F195"/>
    <mergeCell ref="C196:D196"/>
    <mergeCell ref="D197:F197"/>
    <mergeCell ref="D198:F198"/>
    <mergeCell ref="D199:F199"/>
    <mergeCell ref="D200:F200"/>
    <mergeCell ref="B202:I202"/>
    <mergeCell ref="B209:I209"/>
    <mergeCell ref="C211:D211"/>
    <mergeCell ref="C216:F216"/>
    <mergeCell ref="C217:F217"/>
    <mergeCell ref="C218:F218"/>
    <mergeCell ref="C212:F212"/>
    <mergeCell ref="C213:F213"/>
    <mergeCell ref="C214:F214"/>
    <mergeCell ref="C215:F215"/>
    <mergeCell ref="C219:F219"/>
    <mergeCell ref="C220:D220"/>
    <mergeCell ref="C221:F221"/>
    <mergeCell ref="C222:F222"/>
    <mergeCell ref="C223:F223"/>
    <mergeCell ref="C224:F224"/>
    <mergeCell ref="C225:F225"/>
    <mergeCell ref="C226:F226"/>
    <mergeCell ref="C227:F227"/>
    <mergeCell ref="C228:F228"/>
    <mergeCell ref="C229:F229"/>
    <mergeCell ref="B231:I231"/>
    <mergeCell ref="B238:I238"/>
    <mergeCell ref="B240:I240"/>
    <mergeCell ref="C243:I243"/>
    <mergeCell ref="C244:I244"/>
    <mergeCell ref="B246:I246"/>
    <mergeCell ref="B253:I253"/>
    <mergeCell ref="C256:I256"/>
    <mergeCell ref="C257:I257"/>
    <mergeCell ref="B259:I259"/>
    <mergeCell ref="B260:I260"/>
    <mergeCell ref="B262:I262"/>
    <mergeCell ref="C263:I263"/>
    <mergeCell ref="C264:I264"/>
    <mergeCell ref="C265:I265"/>
    <mergeCell ref="B266:I266"/>
    <mergeCell ref="B267:I267"/>
    <mergeCell ref="B268:I268"/>
    <mergeCell ref="B269:I269"/>
    <mergeCell ref="B270:I270"/>
    <mergeCell ref="B272:I272"/>
    <mergeCell ref="C275:I275"/>
    <mergeCell ref="C276:I276"/>
    <mergeCell ref="B278:I278"/>
    <mergeCell ref="B279:I279"/>
    <mergeCell ref="B280:I280"/>
    <mergeCell ref="B282:I282"/>
    <mergeCell ref="C284:I284"/>
    <mergeCell ref="C285:I285"/>
    <mergeCell ref="C286:I286"/>
    <mergeCell ref="B287:I287"/>
    <mergeCell ref="B288:I288"/>
    <mergeCell ref="B290:I290"/>
    <mergeCell ref="B292:I292"/>
    <mergeCell ref="B305:I305"/>
    <mergeCell ref="B306:I306"/>
    <mergeCell ref="B307:I307"/>
    <mergeCell ref="B308:I308"/>
    <mergeCell ref="B310:I310"/>
    <mergeCell ref="D312:F312"/>
    <mergeCell ref="D313:F313"/>
    <mergeCell ref="B315:I315"/>
    <mergeCell ref="B316:I316"/>
    <mergeCell ref="B318:I318"/>
    <mergeCell ref="D320:F320"/>
    <mergeCell ref="D321:F321"/>
    <mergeCell ref="B323:I323"/>
    <mergeCell ref="B324:I324"/>
    <mergeCell ref="B326:I326"/>
    <mergeCell ref="D328:F328"/>
    <mergeCell ref="D329:F329"/>
    <mergeCell ref="D330:F330"/>
    <mergeCell ref="B332:I332"/>
    <mergeCell ref="B333:I333"/>
    <mergeCell ref="B334:I334"/>
    <mergeCell ref="B335:I335"/>
    <mergeCell ref="B337:I337"/>
    <mergeCell ref="D339:F339"/>
    <mergeCell ref="D340:F340"/>
    <mergeCell ref="D341:F341"/>
    <mergeCell ref="D342:F342"/>
    <mergeCell ref="B344:I344"/>
    <mergeCell ref="B345:I345"/>
    <mergeCell ref="B346:I346"/>
    <mergeCell ref="B348:I348"/>
    <mergeCell ref="C349:I349"/>
    <mergeCell ref="C350:I350"/>
    <mergeCell ref="B351:I351"/>
    <mergeCell ref="B352:I352"/>
    <mergeCell ref="B355:I355"/>
    <mergeCell ref="C356:I356"/>
    <mergeCell ref="C357:I357"/>
    <mergeCell ref="C358:I358"/>
    <mergeCell ref="B366:I366"/>
    <mergeCell ref="B367:I367"/>
    <mergeCell ref="B359:I359"/>
    <mergeCell ref="B360:I360"/>
    <mergeCell ref="B362:I362"/>
    <mergeCell ref="C363:I363"/>
    <mergeCell ref="B375:I375"/>
    <mergeCell ref="C376:I376"/>
    <mergeCell ref="C377:I377"/>
    <mergeCell ref="A2:I2"/>
    <mergeCell ref="B368:I368"/>
    <mergeCell ref="B369:I369"/>
    <mergeCell ref="B371:I371"/>
    <mergeCell ref="C373:I373"/>
    <mergeCell ref="C364:I364"/>
    <mergeCell ref="B365:I365"/>
  </mergeCells>
  <conditionalFormatting sqref="G72 K61 K59 I51:I61 G51:G61">
    <cfRule type="expression" priority="1" dxfId="4" stopIfTrue="1">
      <formula>G51=""</formula>
    </cfRule>
    <cfRule type="cellIs" priority="2" dxfId="1" operator="lessThanOrEqual" stopIfTrue="1">
      <formula>0</formula>
    </cfRule>
  </conditionalFormatting>
  <hyperlinks>
    <hyperlink ref="B4:I4" r:id="rId1" display="PUPIL-LED FUNDING (1)"/>
    <hyperlink ref="B5:J5" r:id="rId2" display="PUPIL COUNT ARRANGEMENTS  (2)"/>
    <hyperlink ref="G8" r:id="rId3" display="Band, Range or Level (3)"/>
    <hyperlink ref="I8" r:id="rId4" display="Unit Value (4)               £"/>
    <hyperlink ref="K8" r:id="rId5" display="Total allocated through factor (5)  "/>
    <hyperlink ref="M8" r:id="rId6" display="% of Nursery, Primary &amp; Secondary budgets (6)"/>
    <hyperlink ref="B10:I10" r:id="rId7" display="PRE-SCHOOL PLACE-LED FUNDING TREATED AS PUPIL-LED (NURSERY CLASSES) (7)"/>
    <hyperlink ref="C32:I32" r:id="rId8" display="ALTERNATIVE FUNDING ROUTES FROM 1/9/03 (i.e. not by AWPU)  (8)"/>
    <hyperlink ref="B46:F46" r:id="rId9" display="AGE-WEIGHTED FUNDING  (9)"/>
    <hyperlink ref="G46" r:id="rId10" display="Weighting Ratios (10)"/>
    <hyperlink ref="O47" r:id="rId11" display="Pupil numbers (10a)"/>
    <hyperlink ref="B70:I70" r:id="rId12" display="LSC GRANT ALLOCATION FUNDING SIXTH FORM PUPILS  (11)"/>
    <hyperlink ref="B79:I79" r:id="rId13" display="FUNDING OF SIXTH FORM PUPILS FROM LEA FUNDS (12)"/>
    <hyperlink ref="B89:I89" r:id="rId14" display="OTHER PLACE-LED FUNDING TREATED AS PUPIL-LED such as in boarding units and hostels (13)"/>
    <hyperlink ref="B98:I98" r:id="rId15" display="SEN - pupils with or without statements (pupil-led)  (14)"/>
    <hyperlink ref="B100:I100" r:id="rId16" display="SEN - pupils with or without statements (pupil-led) Named Pupil Individually Assigned Resources (14a)"/>
    <hyperlink ref="B109:I109" r:id="rId17" display="SEN - pupils with or without statements (pupil-led) Other (14b)"/>
    <hyperlink ref="B136:I136" r:id="rId18" display="SEN - Pupils with or without statement (place-led treated as pupil-led)   (15)"/>
    <hyperlink ref="B138:I138" r:id="rId19" display="SEN - pupils with or without statements (place-led treated as pupil-led) Named Pupil Individually Assigned Resources (15a)"/>
    <hyperlink ref="B147:I147" r:id="rId20" display="SEN - pupils with or without statements (place-led treated as pupil-led) Other (15b)"/>
    <hyperlink ref="B162:I162" r:id="rId21" display="NON PUPIL-LED FUNDING  (16)"/>
    <hyperlink ref="B164:I164" r:id="rId22" display="SOCIAL DEPRIVATION FACTORS (17)"/>
    <hyperlink ref="B177:I177" r:id="rId23" display="SEN - NON-STATEMENTED (non pupil-led) SPECIAL EDUCATIONAL NEEDS  (18)"/>
    <hyperlink ref="B189:I189" r:id="rId24" display="SITE SPECIFIC FORMULA FACTORS  (19)"/>
    <hyperlink ref="B209:I209" r:id="rId25" display="SCHOOL SPECIFIC FORMULA FACTORS (20)"/>
    <hyperlink ref="B238:I238" r:id="rId26" display="BUDGET ADJUSTMENTS  (21)"/>
    <hyperlink ref="B240:I240" r:id="rId27" display="PRIOR YEAR ADJUSTMENTS  (22)"/>
    <hyperlink ref="B253:I253" r:id="rId28" display="TRANSITIONAL PROVISION (23)"/>
    <hyperlink ref="B262:I262" r:id="rId29" display="ABATEMENT OF Secondary (11-16) FUNDING arising from operation of the LEA's formula  (24)"/>
    <hyperlink ref="B272:I272" r:id="rId30" display="MINIMUM FUNDING GUARANTEE (25)"/>
    <hyperlink ref="B282:I282" r:id="rId31" display="TOTAL FUNDS AVAILABLE TO MAINSTREAM SCHOOLS  (26)"/>
    <hyperlink ref="B290:I290" r:id="rId32" display="SPECIAL SCHOOLS   (27)"/>
    <hyperlink ref="B292:I292" r:id="rId33" display="PLACE-LED FUNDING (28)"/>
    <hyperlink ref="B310:I310" r:id="rId34" display="PUPIL-LED FUNDING (29)"/>
    <hyperlink ref="B318:I318" r:id="rId35" display="SOCIAL DEPRIVATION FACTORS  (30)"/>
    <hyperlink ref="B326:I326" r:id="rId36" display="SITE SPECIFIC FORMULA FACTORS  (31)"/>
    <hyperlink ref="B337:I337" r:id="rId37" display="SCHOOL SPECIFIC FORMULA FACTORS  (32)"/>
    <hyperlink ref="B348:I348" r:id="rId38" display="BUDGET ADJUSTMENTS e.g. prior year adjustments  (33)"/>
    <hyperlink ref="B355:I355" r:id="rId39" display="TRANSITIONAL PROVISION (34)"/>
    <hyperlink ref="B362:I362" r:id="rId40" display="MINIMUM FUNDING GUARANTEE (35)"/>
    <hyperlink ref="B371:I371" r:id="rId41" display="TOTAL FUNDS AVAILABLE TO SPECIAL SCHOOLS   (36)"/>
    <hyperlink ref="B375:I375" r:id="rId42" display="TOTAL FUNDS AVAILABLE TO ALL SCHOOLS    (37)"/>
  </hyperlinks>
  <printOptions/>
  <pageMargins left="0.2" right="0.17" top="0.43" bottom="0.35" header="0.27" footer="0.17"/>
  <pageSetup horizontalDpi="600" verticalDpi="600" orientation="landscape" paperSize="9" r:id="rId45"/>
  <rowBreaks count="10" manualBreakCount="10">
    <brk id="38" max="255" man="1"/>
    <brk id="64" max="255" man="1"/>
    <brk id="88" max="255" man="1"/>
    <brk id="108" max="255" man="1"/>
    <brk id="188" max="255" man="1"/>
    <brk id="219" max="255" man="1"/>
    <brk id="252" max="255" man="1"/>
    <brk id="277" max="255" man="1"/>
    <brk id="304" max="255" man="1"/>
    <brk id="331" max="255" man="1"/>
  </rowBreaks>
  <legacyDrawing r:id="rId44"/>
</worksheet>
</file>

<file path=xl/worksheets/sheet9.xml><?xml version="1.0" encoding="utf-8"?>
<worksheet xmlns="http://schemas.openxmlformats.org/spreadsheetml/2006/main" xmlns:r="http://schemas.openxmlformats.org/officeDocument/2006/relationships">
  <dimension ref="A1:BO190"/>
  <sheetViews>
    <sheetView zoomScale="85" zoomScaleNormal="85" workbookViewId="0" topLeftCell="A10">
      <pane xSplit="4" ySplit="14" topLeftCell="E24" activePane="bottomRight" state="frozen"/>
      <selection pane="topLeft" activeCell="A10" sqref="A10"/>
      <selection pane="topRight" activeCell="E10" sqref="E10"/>
      <selection pane="bottomLeft" activeCell="A24" sqref="A24"/>
      <selection pane="bottomRight" activeCell="M30" sqref="M30"/>
    </sheetView>
  </sheetViews>
  <sheetFormatPr defaultColWidth="9.140625" defaultRowHeight="12"/>
  <cols>
    <col min="1" max="1" width="7.8515625" style="1" customWidth="1"/>
    <col min="2" max="2" width="5.28125" style="1" customWidth="1"/>
    <col min="3" max="3" width="25.140625" style="1" customWidth="1"/>
    <col min="4" max="4" width="10.00390625" style="1" customWidth="1"/>
    <col min="5" max="5" width="15.57421875" style="1" customWidth="1"/>
    <col min="6" max="6" width="0.71875" style="1" customWidth="1"/>
    <col min="7" max="7" width="10.00390625" style="1" customWidth="1"/>
    <col min="8" max="8" width="0.71875" style="1" customWidth="1"/>
    <col min="9" max="9" width="10.00390625" style="1" customWidth="1"/>
    <col min="10" max="10" width="0.71875" style="1" customWidth="1"/>
    <col min="11" max="11" width="10.00390625" style="1" customWidth="1"/>
    <col min="12" max="12" width="0.71875" style="1" customWidth="1"/>
    <col min="13" max="13" width="10.00390625" style="1" customWidth="1"/>
    <col min="14" max="14" width="0.71875" style="1" customWidth="1"/>
    <col min="15" max="15" width="10.00390625" style="1" customWidth="1"/>
    <col min="16" max="16" width="0.71875" style="1" customWidth="1"/>
    <col min="17" max="17" width="10.00390625" style="1" customWidth="1"/>
    <col min="18" max="18" width="0.71875" style="1" customWidth="1"/>
    <col min="19" max="19" width="10.00390625" style="1" customWidth="1"/>
    <col min="20" max="20" width="9.140625" style="1" customWidth="1"/>
    <col min="21" max="21" width="10.8515625" style="1" customWidth="1"/>
    <col min="22" max="22" width="5.8515625" style="1" bestFit="1" customWidth="1"/>
    <col min="23" max="24" width="10.8515625" style="1" customWidth="1"/>
    <col min="25" max="27" width="9.140625" style="1" customWidth="1"/>
    <col min="28" max="28" width="7.8515625" style="1" customWidth="1"/>
    <col min="29" max="29" width="6.28125" style="1" customWidth="1"/>
    <col min="30" max="30" width="25.140625" style="1" customWidth="1"/>
    <col min="31" max="31" width="10.00390625" style="1" customWidth="1"/>
    <col min="32" max="32" width="15.57421875" style="1" customWidth="1"/>
    <col min="33" max="33" width="0.71875" style="1" customWidth="1"/>
    <col min="34" max="34" width="10.140625" style="1" customWidth="1"/>
    <col min="35" max="35" width="0.71875" style="1" customWidth="1"/>
    <col min="36" max="36" width="10.140625" style="1" customWidth="1"/>
    <col min="37" max="37" width="0.71875" style="1" customWidth="1"/>
    <col min="38" max="38" width="10.140625" style="1" customWidth="1"/>
    <col min="39" max="39" width="0.71875" style="1" customWidth="1"/>
    <col min="40" max="40" width="10.140625" style="1" customWidth="1"/>
    <col min="41" max="41" width="0.71875" style="1" customWidth="1"/>
    <col min="42" max="42" width="10.140625" style="1" customWidth="1"/>
    <col min="43" max="43" width="0.71875" style="1" customWidth="1"/>
    <col min="44" max="44" width="10.140625" style="1" customWidth="1"/>
    <col min="45" max="45" width="0.71875" style="1" customWidth="1"/>
    <col min="46" max="46" width="10.140625" style="1" customWidth="1"/>
    <col min="47" max="47" width="4.28125" style="1" hidden="1" customWidth="1"/>
    <col min="48" max="16384" width="9.140625" style="1" customWidth="1"/>
  </cols>
  <sheetData>
    <row r="1" spans="1:47" ht="34.5" customHeight="1" thickBot="1">
      <c r="A1" s="876" t="str">
        <f>IF(AU1&lt;&gt;0,"ERRORS/WARNINGS ARE PRESENT","NO ERRORS/WARNINGS")</f>
        <v>ERRORS/WARNINGS ARE PRESENT</v>
      </c>
      <c r="B1" s="876"/>
      <c r="C1" s="876"/>
      <c r="D1" s="876"/>
      <c r="H1" s="441" t="s">
        <v>800</v>
      </c>
      <c r="AU1" s="2">
        <f>SUM(AU4:AU143)</f>
        <v>1</v>
      </c>
    </row>
    <row r="2" spans="1:46" ht="13.5" thickBot="1">
      <c r="A2" s="915" t="s">
        <v>801</v>
      </c>
      <c r="B2" s="916"/>
      <c r="C2" s="916"/>
      <c r="D2" s="916"/>
      <c r="E2" s="916"/>
      <c r="F2" s="916"/>
      <c r="G2" s="916"/>
      <c r="H2" s="916"/>
      <c r="I2" s="916"/>
      <c r="J2" s="917" t="s">
        <v>34</v>
      </c>
      <c r="K2" s="917"/>
      <c r="L2" s="917"/>
      <c r="M2" s="917"/>
      <c r="N2" s="917"/>
      <c r="O2" s="917"/>
      <c r="P2" s="917"/>
      <c r="Q2" s="917"/>
      <c r="R2" s="917"/>
      <c r="S2" s="918"/>
      <c r="AB2" s="544" t="str">
        <f>A2</f>
        <v>SECTION 52 EDUCATION BUDGET STATEMENT</v>
      </c>
      <c r="AC2" s="545"/>
      <c r="AD2" s="545"/>
      <c r="AE2" s="545"/>
      <c r="AF2" s="545"/>
      <c r="AG2" s="545"/>
      <c r="AH2" s="545"/>
      <c r="AI2" s="545"/>
      <c r="AJ2" s="545"/>
      <c r="AK2" s="607" t="str">
        <f>J2</f>
        <v>Table 1 - LEA level information</v>
      </c>
      <c r="AL2" s="607"/>
      <c r="AM2" s="607"/>
      <c r="AN2" s="607"/>
      <c r="AO2" s="607"/>
      <c r="AP2" s="607"/>
      <c r="AQ2" s="607"/>
      <c r="AR2" s="607"/>
      <c r="AS2" s="607"/>
      <c r="AT2" s="608"/>
    </row>
    <row r="3" ht="12.75" thickBot="1"/>
    <row r="4" spans="1:47" ht="39" thickBot="1">
      <c r="A4" s="442" t="s">
        <v>802</v>
      </c>
      <c r="B4" s="873" t="s">
        <v>17</v>
      </c>
      <c r="C4" s="874"/>
      <c r="D4" s="443" t="s">
        <v>803</v>
      </c>
      <c r="E4" s="875" t="s">
        <v>804</v>
      </c>
      <c r="F4" s="875"/>
      <c r="G4" s="875"/>
      <c r="H4" s="912" t="s">
        <v>805</v>
      </c>
      <c r="I4" s="912"/>
      <c r="J4" s="912"/>
      <c r="K4" s="875">
        <v>334</v>
      </c>
      <c r="L4" s="875"/>
      <c r="M4" s="912" t="s">
        <v>806</v>
      </c>
      <c r="N4" s="912"/>
      <c r="O4" s="912"/>
      <c r="P4" s="913" t="s">
        <v>807</v>
      </c>
      <c r="Q4" s="914"/>
      <c r="R4" s="914"/>
      <c r="S4" s="914"/>
      <c r="AB4" s="444" t="str">
        <f>A4</f>
        <v>Year</v>
      </c>
      <c r="AC4" s="903" t="str">
        <f>B4</f>
        <v>2006-07</v>
      </c>
      <c r="AD4" s="903"/>
      <c r="AE4" s="445" t="str">
        <f>D4</f>
        <v>Local Authority Name</v>
      </c>
      <c r="AF4" s="904" t="str">
        <f>E4</f>
        <v>Solihull</v>
      </c>
      <c r="AG4" s="905"/>
      <c r="AH4" s="906"/>
      <c r="AI4" s="894" t="str">
        <f>H4</f>
        <v>LEA No.</v>
      </c>
      <c r="AJ4" s="894"/>
      <c r="AK4" s="894"/>
      <c r="AL4" s="902">
        <f>K4</f>
        <v>334</v>
      </c>
      <c r="AM4" s="902"/>
      <c r="AN4" s="894" t="str">
        <f>M4</f>
        <v>Email Address</v>
      </c>
      <c r="AO4" s="894"/>
      <c r="AP4" s="894"/>
      <c r="AQ4" s="895">
        <f>IF(AND(P4="",$H$1&lt;&gt;"*"),"",IF(AND(P4="",H1="*"),"Error H3",IF(ISERROR(FIND("@",P4,1)),"Error H3","")))</f>
      </c>
      <c r="AR4" s="895"/>
      <c r="AS4" s="895"/>
      <c r="AT4" s="895"/>
      <c r="AU4" s="2">
        <f>IF(LEN(TRIM(AQ4))&gt;0,1,0)</f>
        <v>0</v>
      </c>
    </row>
    <row r="5" spans="1:47" ht="12.75" thickBot="1">
      <c r="A5" s="446" t="s">
        <v>808</v>
      </c>
      <c r="B5" s="877" t="s">
        <v>809</v>
      </c>
      <c r="C5" s="877"/>
      <c r="D5" s="446" t="s">
        <v>810</v>
      </c>
      <c r="E5" s="878" t="s">
        <v>811</v>
      </c>
      <c r="F5" s="878"/>
      <c r="G5" s="878"/>
      <c r="H5" s="909" t="s">
        <v>812</v>
      </c>
      <c r="I5" s="909"/>
      <c r="J5" s="909"/>
      <c r="K5" s="877">
        <v>3</v>
      </c>
      <c r="L5" s="877"/>
      <c r="M5" s="909" t="s">
        <v>813</v>
      </c>
      <c r="N5" s="909"/>
      <c r="O5" s="909"/>
      <c r="P5" s="878" t="s">
        <v>814</v>
      </c>
      <c r="Q5" s="878"/>
      <c r="R5" s="878"/>
      <c r="S5" s="878"/>
      <c r="U5" s="612" t="s">
        <v>815</v>
      </c>
      <c r="V5" s="612" t="s">
        <v>816</v>
      </c>
      <c r="W5" s="896" t="s">
        <v>817</v>
      </c>
      <c r="X5" s="897"/>
      <c r="Y5" s="897"/>
      <c r="Z5" s="898"/>
      <c r="AB5" s="447" t="str">
        <f>A5</f>
        <v>Contact</v>
      </c>
      <c r="AC5" s="893">
        <f>IF(AND(B5="",$H$1&lt;&gt;"*"),"",IF(AND(B5="",$H$1="*"),"Error H1",""))</f>
      </c>
      <c r="AD5" s="893"/>
      <c r="AE5" s="448" t="str">
        <f>D5</f>
        <v>TEL.</v>
      </c>
      <c r="AF5" s="893">
        <f>IF(AND(E5="",$H$1&lt;&gt;"*"),"",IF(AND(E5="",$H$1="*"),"Error H2",IF(AND(E5&lt;&gt;"",ISNUMBER(VALUE(LEFT(E5,1)))=FALSE),"Error H2","")))</f>
      </c>
      <c r="AG5" s="893"/>
      <c r="AH5" s="893"/>
      <c r="AI5" s="892" t="str">
        <f>H5</f>
        <v>Version No.</v>
      </c>
      <c r="AJ5" s="892"/>
      <c r="AK5" s="892"/>
      <c r="AL5" s="893">
        <f>IF(AND(K5="",$H$1&lt;&gt;"*"),"",IF(AND(K5="",$H$1="*"),"Warning H1",IF(AND(K5&lt;&gt;"",ISNUMBER(VALUE(K5))=FALSE),"Warning H1",IF(K5-INT(K5)&lt;&gt;0,"Warning H1",IF(K5&lt;1,"Warning H1","")))))</f>
      </c>
      <c r="AM5" s="893"/>
      <c r="AN5" s="892" t="str">
        <f>M5</f>
        <v>Completion Date</v>
      </c>
      <c r="AO5" s="892"/>
      <c r="AP5" s="892"/>
      <c r="AQ5" s="893">
        <f ca="1">IF(AND(P5="",$H$1&lt;&gt;"*"),"",IF(AND(P5="",$H$1="*"),"Warning H2",IF(ISERROR(DATEVALUE(P5)),"Warning H2",IF(DATEVALUE(P5)&gt;TODAY(),"Warning H2",""))))</f>
      </c>
      <c r="AR5" s="893"/>
      <c r="AS5" s="893"/>
      <c r="AT5" s="893"/>
      <c r="AU5" s="2">
        <f>IF(LEN(TRIM(AC5&amp;AF5&amp;AL5&amp;AQ5))&gt;0,1,0)</f>
        <v>0</v>
      </c>
    </row>
    <row r="6" spans="21:26" ht="12.75" customHeight="1">
      <c r="U6" s="614"/>
      <c r="V6" s="614"/>
      <c r="W6" s="899"/>
      <c r="X6" s="900"/>
      <c r="Y6" s="900"/>
      <c r="Z6" s="901"/>
    </row>
    <row r="7" spans="21:26" ht="12">
      <c r="U7" s="614"/>
      <c r="V7" s="614"/>
      <c r="W7" s="907" t="s">
        <v>818</v>
      </c>
      <c r="X7" s="907"/>
      <c r="Y7" s="908" t="s">
        <v>819</v>
      </c>
      <c r="Z7" s="908"/>
    </row>
    <row r="8" spans="7:46" ht="12">
      <c r="G8" s="4" t="s">
        <v>35</v>
      </c>
      <c r="I8" s="4" t="s">
        <v>36</v>
      </c>
      <c r="K8" s="4" t="s">
        <v>37</v>
      </c>
      <c r="M8" s="4" t="s">
        <v>38</v>
      </c>
      <c r="O8" s="4" t="s">
        <v>39</v>
      </c>
      <c r="Q8" s="4" t="s">
        <v>40</v>
      </c>
      <c r="S8" s="4" t="s">
        <v>41</v>
      </c>
      <c r="U8" s="614"/>
      <c r="V8" s="614"/>
      <c r="W8" s="612" t="s">
        <v>820</v>
      </c>
      <c r="X8" s="612" t="s">
        <v>821</v>
      </c>
      <c r="Y8" s="612" t="s">
        <v>820</v>
      </c>
      <c r="Z8" s="612" t="s">
        <v>821</v>
      </c>
      <c r="AH8" s="4" t="str">
        <f>G8</f>
        <v>Nursery</v>
      </c>
      <c r="AJ8" s="4" t="str">
        <f>I8</f>
        <v>Primary</v>
      </c>
      <c r="AL8" s="4" t="str">
        <f>K8</f>
        <v>Secondary</v>
      </c>
      <c r="AN8" s="4" t="str">
        <f>M8</f>
        <v>Special</v>
      </c>
      <c r="AP8" s="4" t="str">
        <f>O8</f>
        <v>Gross</v>
      </c>
      <c r="AR8" s="4" t="str">
        <f>Q8</f>
        <v>Income</v>
      </c>
      <c r="AT8" s="4" t="str">
        <f>S8</f>
        <v>Net</v>
      </c>
    </row>
    <row r="9" spans="2:46" ht="12">
      <c r="B9" s="7">
        <v>1</v>
      </c>
      <c r="C9" s="501" t="s">
        <v>42</v>
      </c>
      <c r="D9" s="501"/>
      <c r="E9" s="501"/>
      <c r="G9" s="4" t="s">
        <v>21</v>
      </c>
      <c r="I9" s="4" t="s">
        <v>22</v>
      </c>
      <c r="K9" s="4" t="s">
        <v>23</v>
      </c>
      <c r="M9" s="4" t="s">
        <v>43</v>
      </c>
      <c r="O9" s="4" t="s">
        <v>44</v>
      </c>
      <c r="Q9" s="4" t="s">
        <v>45</v>
      </c>
      <c r="S9" s="4" t="s">
        <v>46</v>
      </c>
      <c r="U9" s="613"/>
      <c r="V9" s="613"/>
      <c r="W9" s="613"/>
      <c r="X9" s="613"/>
      <c r="Y9" s="613"/>
      <c r="Z9" s="613"/>
      <c r="AC9" s="8">
        <f>B9</f>
        <v>1</v>
      </c>
      <c r="AD9" s="501" t="str">
        <f>C9</f>
        <v>Schools Budget</v>
      </c>
      <c r="AE9" s="501"/>
      <c r="AF9" s="501"/>
      <c r="AH9" s="4" t="str">
        <f>G9</f>
        <v>(a)</v>
      </c>
      <c r="AJ9" s="4" t="str">
        <f>I9</f>
        <v>(b)</v>
      </c>
      <c r="AL9" s="4" t="str">
        <f>K9</f>
        <v>(c)</v>
      </c>
      <c r="AN9" s="4" t="str">
        <f>M9</f>
        <v>(d)</v>
      </c>
      <c r="AP9" s="4" t="str">
        <f>O9</f>
        <v>(e)</v>
      </c>
      <c r="AR9" s="4" t="str">
        <f>Q9</f>
        <v>(f)</v>
      </c>
      <c r="AT9" s="4" t="str">
        <f>S9</f>
        <v>(g)</v>
      </c>
    </row>
    <row r="10" spans="2:5" ht="12">
      <c r="B10" s="9"/>
      <c r="C10" s="9"/>
      <c r="D10" s="9"/>
      <c r="E10" s="9"/>
    </row>
    <row r="11" spans="2:47" ht="12">
      <c r="B11" s="10" t="s">
        <v>47</v>
      </c>
      <c r="C11" s="890" t="s">
        <v>48</v>
      </c>
      <c r="D11" s="890"/>
      <c r="E11" s="890"/>
      <c r="F11" s="11"/>
      <c r="G11" s="12">
        <v>0</v>
      </c>
      <c r="I11" s="12">
        <v>50568010</v>
      </c>
      <c r="K11" s="12">
        <v>49699174</v>
      </c>
      <c r="M11" s="12">
        <v>4967467</v>
      </c>
      <c r="O11" s="13">
        <f>SUM(G11:M11)</f>
        <v>105234651</v>
      </c>
      <c r="Q11" s="14"/>
      <c r="S11" s="13">
        <f>IF(ISERROR(O11-Q11),0,O11-Q11)</f>
        <v>105234651</v>
      </c>
      <c r="U11" s="13">
        <v>98761308</v>
      </c>
      <c r="V11" s="449" t="s">
        <v>822</v>
      </c>
      <c r="W11" s="450">
        <v>0</v>
      </c>
      <c r="X11" s="451">
        <v>0</v>
      </c>
      <c r="Y11" s="450">
        <v>0.15</v>
      </c>
      <c r="Z11" s="451">
        <v>0</v>
      </c>
      <c r="AC11" s="8" t="str">
        <f>B11</f>
        <v>1.0.1</v>
      </c>
      <c r="AD11" s="883" t="str">
        <f>C11</f>
        <v>Individual Schools Budget</v>
      </c>
      <c r="AE11" s="883"/>
      <c r="AF11" s="883"/>
      <c r="AH11" s="452" t="s">
        <v>33</v>
      </c>
      <c r="AJ11" s="452" t="s">
        <v>33</v>
      </c>
      <c r="AL11" s="452" t="s">
        <v>33</v>
      </c>
      <c r="AN11" s="452" t="s">
        <v>33</v>
      </c>
      <c r="AP11" s="452" t="s">
        <v>33</v>
      </c>
      <c r="AR11" s="14"/>
      <c r="AT11" s="452">
        <f>IF(AND(S11="",$H$1&lt;&gt;"*"),"",IF(AND(S11="",$H$1="*"),"Error 1.1",IF(ISNUMBER(S11)=FALSE,"Error 1.2",IF(S11&lt;=0,"Error 1.4",IF(AND(U11&lt;&gt;0,U11&lt;&gt;"",OR(AND(S11&lt;U11+(U11*W11),S11-U11&lt;X11),AND(S11&gt;U11+(U11*Y11),S11-U11&gt;Z11))),"Warning 3.1",IF((S11)-INT(S11)&lt;&gt;0,"Warning 2.2",""))))))</f>
      </c>
      <c r="AU11" s="2">
        <f>IF(LEN(TRIM(AH11&amp;AJ11&amp;AL11&amp;AN11&amp;AP11&amp;AR11&amp;AT11))&gt;0,1,0)</f>
        <v>0</v>
      </c>
    </row>
    <row r="12" spans="2:47" ht="12">
      <c r="B12" s="15" t="s">
        <v>49</v>
      </c>
      <c r="C12" s="891" t="s">
        <v>50</v>
      </c>
      <c r="D12" s="891"/>
      <c r="E12" s="891"/>
      <c r="F12" s="11"/>
      <c r="G12" s="12">
        <v>0</v>
      </c>
      <c r="I12" s="12">
        <v>2800320</v>
      </c>
      <c r="K12" s="12">
        <v>2148014</v>
      </c>
      <c r="M12" s="12">
        <v>212321</v>
      </c>
      <c r="O12" s="13">
        <f aca="true" t="shared" si="0" ref="O12:O31">SUM(G12:M12)</f>
        <v>5160655</v>
      </c>
      <c r="Q12" s="12">
        <f>+O12</f>
        <v>5160655</v>
      </c>
      <c r="S12" s="13">
        <f aca="true" t="shared" si="1" ref="S12:S31">IF(ISERROR(O12-Q12),0,O12-Q12)</f>
        <v>0</v>
      </c>
      <c r="AC12" s="8" t="str">
        <f aca="true" t="shared" si="2" ref="AC12:AD27">B12</f>
        <v>1.0.2</v>
      </c>
      <c r="AD12" s="883" t="str">
        <f t="shared" si="2"/>
        <v>School Standards Grant - Maintained Schools</v>
      </c>
      <c r="AE12" s="883"/>
      <c r="AF12" s="883"/>
      <c r="AH12" s="452" t="s">
        <v>33</v>
      </c>
      <c r="AJ12" s="452" t="s">
        <v>33</v>
      </c>
      <c r="AL12" s="452" t="s">
        <v>33</v>
      </c>
      <c r="AN12" s="452" t="s">
        <v>33</v>
      </c>
      <c r="AP12" s="452" t="s">
        <v>33</v>
      </c>
      <c r="AR12" s="452">
        <f>IF(AND(Q12="",$H$1&lt;&gt;"*"),"",IF(AND(Q12="",$H$1="*"),"Error 1.1",IF(ISNUMBER(Q12)=FALSE,"Error 1.2",IF(Q12&lt;=0,"Error 1.4",IF((Q12)-INT(Q12)&lt;&gt;0,"Warning 2.2","")))))</f>
      </c>
      <c r="AT12" s="452">
        <f aca="true" t="shared" si="3" ref="AT12:AT17">IF(AND(S12="",$H$1&lt;&gt;"*"),"",IF(AND(S12="",$H$1="*"),"Error 1.1",IF(ISNUMBER(S12)=FALSE,"Error 1.2",IF(S12&lt;&gt;0,"Warning 2.4",""))))</f>
      </c>
      <c r="AU12" s="2">
        <f aca="true" t="shared" si="4" ref="AU12:AU17">IF(LEN(TRIM(AH12&amp;AJ12&amp;AL12&amp;AN12&amp;AP12&amp;AR12&amp;AT12))&gt;0,1,0)</f>
        <v>0</v>
      </c>
    </row>
    <row r="13" spans="2:47" ht="12">
      <c r="B13" s="15" t="s">
        <v>51</v>
      </c>
      <c r="C13" s="891" t="s">
        <v>52</v>
      </c>
      <c r="D13" s="891"/>
      <c r="E13" s="891"/>
      <c r="F13" s="11"/>
      <c r="G13" s="12">
        <v>0</v>
      </c>
      <c r="I13" s="12">
        <v>18173</v>
      </c>
      <c r="K13" s="12">
        <v>86827</v>
      </c>
      <c r="M13" s="12">
        <v>0</v>
      </c>
      <c r="O13" s="13">
        <f t="shared" si="0"/>
        <v>105000</v>
      </c>
      <c r="Q13" s="12">
        <f>+O13</f>
        <v>105000</v>
      </c>
      <c r="S13" s="13">
        <f t="shared" si="1"/>
        <v>0</v>
      </c>
      <c r="AC13" s="8" t="str">
        <f t="shared" si="2"/>
        <v>1.0.3</v>
      </c>
      <c r="AD13" s="883" t="str">
        <f t="shared" si="2"/>
        <v>School Standards Grant - Pupil Referral Units</v>
      </c>
      <c r="AE13" s="883"/>
      <c r="AF13" s="883"/>
      <c r="AH13" s="452">
        <f>IF(AND(G13="",$H$1&lt;&gt;"*"),"",IF(AND(G13="",$H$1="*"),"Error 1.1",IF(ISNUMBER(G13)=FALSE,"Error 1.2",IF(G13&lt;0,"Error 1.3",IF((G13)-INT(G13)&lt;&gt;0,"Warning 2.2","")))))</f>
      </c>
      <c r="AJ13" s="452">
        <f>IF(AND(I13="",$H$1&lt;&gt;"*"),"",IF(AND(I13="",$H$1="*"),"Error 1.1",IF(ISNUMBER(I13)=FALSE,"Error 1.2",IF(I13&lt;0,"Error 1.3",IF((I13)-INT(I13)&lt;&gt;0,"Warning 2.2","")))))</f>
      </c>
      <c r="AL13" s="452">
        <f>IF(AND(K13="",$H$1&lt;&gt;"*"),"",IF(AND(K13="",$H$1="*"),"Error 1.1",IF(ISNUMBER(K13)=FALSE,"Error 1.2",IF(K13&lt;0,"Error 1.3",IF((K13)-INT(K13)&lt;&gt;0,"Warning 2.2","")))))</f>
      </c>
      <c r="AN13" s="452">
        <f>IF(AND(M13="",$H$1&lt;&gt;"*"),"",IF(AND(M13="",$H$1="*"),"Error 1.1",IF(ISNUMBER(M13)=FALSE,"Error 1.2",IF(M13&lt;0,"Error 1.3",IF((M13)-INT(M13)&lt;&gt;0,"Warning 2.2","")))))</f>
      </c>
      <c r="AP13" s="453"/>
      <c r="AR13" s="452">
        <f>IF(AND(Q13="",$H$1&lt;&gt;"*"),"",IF(AND(Q13="",$H$1="*"),"Error 1.1",IF(ISNUMBER(Q13)=FALSE,"Error 1.2",IF(Q13&lt;0,"Error 1.3",IF((Q13)-INT(Q13)&lt;&gt;0,"Warning 2.2","")))))</f>
      </c>
      <c r="AT13" s="452">
        <f t="shared" si="3"/>
      </c>
      <c r="AU13" s="2">
        <f t="shared" si="4"/>
        <v>0</v>
      </c>
    </row>
    <row r="14" spans="2:47" ht="12">
      <c r="B14" s="16" t="s">
        <v>53</v>
      </c>
      <c r="C14" s="891" t="s">
        <v>54</v>
      </c>
      <c r="D14" s="891"/>
      <c r="E14" s="891"/>
      <c r="F14" s="11"/>
      <c r="G14" s="12">
        <v>0</v>
      </c>
      <c r="I14" s="12">
        <v>2808985</v>
      </c>
      <c r="K14" s="12">
        <v>4178803</v>
      </c>
      <c r="M14" s="12">
        <v>156335</v>
      </c>
      <c r="O14" s="13">
        <f t="shared" si="0"/>
        <v>7144123</v>
      </c>
      <c r="Q14" s="12">
        <f>+O14</f>
        <v>7144123</v>
      </c>
      <c r="S14" s="13">
        <f t="shared" si="1"/>
        <v>0</v>
      </c>
      <c r="AC14" s="8" t="str">
        <f t="shared" si="2"/>
        <v>1.0.4</v>
      </c>
      <c r="AD14" s="883" t="str">
        <f t="shared" si="2"/>
        <v>School Development Grant</v>
      </c>
      <c r="AE14" s="883"/>
      <c r="AF14" s="883"/>
      <c r="AH14" s="452" t="s">
        <v>33</v>
      </c>
      <c r="AJ14" s="452" t="s">
        <v>33</v>
      </c>
      <c r="AL14" s="452" t="s">
        <v>33</v>
      </c>
      <c r="AN14" s="452" t="s">
        <v>33</v>
      </c>
      <c r="AP14" s="452" t="s">
        <v>33</v>
      </c>
      <c r="AR14" s="452">
        <f>IF(AND(Q14="",$H$1&lt;&gt;"*"),"",IF(AND(Q14="",$H$1="*"),"Error 1.1",IF(ISNUMBER(Q14)=FALSE,"Error 1.2",IF(Q14&lt;=0,"Error 1.4",IF((Q14)-INT(Q14)&lt;&gt;0,"Warning 2.2","")))))</f>
      </c>
      <c r="AT14" s="452">
        <f t="shared" si="3"/>
      </c>
      <c r="AU14" s="2">
        <f t="shared" si="4"/>
        <v>0</v>
      </c>
    </row>
    <row r="15" spans="2:47" ht="12">
      <c r="B15" s="16" t="s">
        <v>55</v>
      </c>
      <c r="C15" s="891" t="s">
        <v>56</v>
      </c>
      <c r="D15" s="891"/>
      <c r="E15" s="891"/>
      <c r="F15" s="11"/>
      <c r="G15" s="12">
        <v>0</v>
      </c>
      <c r="I15" s="12">
        <v>594022</v>
      </c>
      <c r="K15" s="12">
        <v>779632</v>
      </c>
      <c r="M15" s="12">
        <v>5000</v>
      </c>
      <c r="O15" s="13">
        <f t="shared" si="0"/>
        <v>1378654</v>
      </c>
      <c r="Q15" s="12">
        <f>+O15</f>
        <v>1378654</v>
      </c>
      <c r="S15" s="13">
        <f t="shared" si="1"/>
        <v>0</v>
      </c>
      <c r="AC15" s="8" t="str">
        <f t="shared" si="2"/>
        <v>1.0.5</v>
      </c>
      <c r="AD15" s="883" t="str">
        <f t="shared" si="2"/>
        <v>Other Standards Fund Allocation - Devolved</v>
      </c>
      <c r="AE15" s="883"/>
      <c r="AF15" s="883"/>
      <c r="AH15" s="452" t="s">
        <v>33</v>
      </c>
      <c r="AJ15" s="452" t="s">
        <v>33</v>
      </c>
      <c r="AL15" s="452" t="s">
        <v>33</v>
      </c>
      <c r="AN15" s="452" t="s">
        <v>33</v>
      </c>
      <c r="AP15" s="452" t="s">
        <v>33</v>
      </c>
      <c r="AR15" s="452">
        <f>IF(AND(Q15="",$H$1&lt;&gt;"*"),"",IF(AND(Q15="",$H$1="*"),"Error 1.1",IF(ISNUMBER(Q15)=FALSE,"Error 1.2",IF(Q15&lt;=0,"Error 1.4",IF((Q15)-INT(Q15)&lt;&gt;0,"Warning 2.2","")))))</f>
      </c>
      <c r="AT15" s="452">
        <f>IF(AND(S15="",$H$1&lt;&gt;"*"),"",IF(AND(S15="",$H$1="*"),"Error 1.1",IF(ISNUMBER(S15)=FALSE,"Error 1.2",IF(S15&lt;0,"Error 1.3",IF((S15)-INT(S15)&lt;&gt;0,"Warning 2.2","")))))</f>
      </c>
      <c r="AU15" s="2">
        <f t="shared" si="4"/>
        <v>0</v>
      </c>
    </row>
    <row r="16" spans="2:47" ht="12">
      <c r="B16" s="16" t="s">
        <v>57</v>
      </c>
      <c r="C16" s="891" t="s">
        <v>58</v>
      </c>
      <c r="D16" s="891"/>
      <c r="E16" s="891"/>
      <c r="F16" s="11"/>
      <c r="G16" s="12">
        <v>0</v>
      </c>
      <c r="I16" s="12">
        <v>81152</v>
      </c>
      <c r="K16" s="12">
        <v>28517</v>
      </c>
      <c r="M16" s="12">
        <v>5543</v>
      </c>
      <c r="O16" s="13">
        <f t="shared" si="0"/>
        <v>115212</v>
      </c>
      <c r="Q16" s="12">
        <f>+O16</f>
        <v>115212</v>
      </c>
      <c r="S16" s="13">
        <f t="shared" si="1"/>
        <v>0</v>
      </c>
      <c r="AC16" s="8" t="str">
        <f t="shared" si="2"/>
        <v>1.0.6</v>
      </c>
      <c r="AD16" s="883" t="str">
        <f t="shared" si="2"/>
        <v>Devolved School Meals Grant</v>
      </c>
      <c r="AE16" s="883"/>
      <c r="AF16" s="883"/>
      <c r="AH16" s="452" t="s">
        <v>33</v>
      </c>
      <c r="AJ16" s="452" t="s">
        <v>33</v>
      </c>
      <c r="AL16" s="452" t="s">
        <v>33</v>
      </c>
      <c r="AN16" s="452" t="s">
        <v>33</v>
      </c>
      <c r="AP16" s="452" t="s">
        <v>33</v>
      </c>
      <c r="AR16" s="452">
        <f>IF(AND(Q16="",$H$1&lt;&gt;"*"),"",IF(AND(Q16="",$H$1="*"),"Error 1.1",IF(ISNUMBER(Q16)=FALSE,"Error 1.2",IF(Q16&lt;0,"Error 1.3",IF((Q16)-INT(Q16)&lt;&gt;0,"Warning 2.2","")))))</f>
      </c>
      <c r="AT16" s="452">
        <f t="shared" si="3"/>
      </c>
      <c r="AU16" s="2">
        <f t="shared" si="4"/>
        <v>0</v>
      </c>
    </row>
    <row r="17" spans="2:47" ht="12">
      <c r="B17" s="16" t="s">
        <v>59</v>
      </c>
      <c r="C17" s="891" t="s">
        <v>60</v>
      </c>
      <c r="D17" s="891"/>
      <c r="E17" s="891"/>
      <c r="F17" s="11"/>
      <c r="G17" s="12">
        <v>0</v>
      </c>
      <c r="I17" s="12">
        <v>0</v>
      </c>
      <c r="K17" s="12">
        <v>0</v>
      </c>
      <c r="M17" s="12">
        <v>0</v>
      </c>
      <c r="O17" s="13">
        <f t="shared" si="0"/>
        <v>0</v>
      </c>
      <c r="Q17" s="12">
        <v>0</v>
      </c>
      <c r="S17" s="13">
        <f t="shared" si="1"/>
        <v>0</v>
      </c>
      <c r="AC17" s="8" t="str">
        <f t="shared" si="2"/>
        <v>1.0.7</v>
      </c>
      <c r="AD17" s="883" t="str">
        <f t="shared" si="2"/>
        <v>Targeted School Meals Grant - Devolved</v>
      </c>
      <c r="AE17" s="883"/>
      <c r="AF17" s="883"/>
      <c r="AH17" s="452" t="s">
        <v>33</v>
      </c>
      <c r="AJ17" s="452" t="s">
        <v>33</v>
      </c>
      <c r="AL17" s="452" t="s">
        <v>33</v>
      </c>
      <c r="AN17" s="452" t="s">
        <v>33</v>
      </c>
      <c r="AP17" s="452" t="s">
        <v>33</v>
      </c>
      <c r="AR17" s="452">
        <f>IF(AND(Q17="",$H$1&lt;&gt;"*"),"",IF(AND(Q17="",$H$1="*"),"Error 1.1",IF(ISNUMBER(Q17)=FALSE,"Error 1.2",IF(Q17&lt;0,"Error 1.3",IF((Q17)-INT(Q17)&lt;&gt;0,"Warning 2.2","")))))</f>
      </c>
      <c r="AT17" s="452">
        <f t="shared" si="3"/>
      </c>
      <c r="AU17" s="2">
        <f t="shared" si="4"/>
        <v>0</v>
      </c>
    </row>
    <row r="18" spans="2:47" ht="12">
      <c r="B18" s="16" t="s">
        <v>61</v>
      </c>
      <c r="C18" s="891" t="s">
        <v>62</v>
      </c>
      <c r="D18" s="891"/>
      <c r="E18" s="891"/>
      <c r="F18" s="11"/>
      <c r="G18" s="12">
        <v>0</v>
      </c>
      <c r="I18" s="12">
        <v>0</v>
      </c>
      <c r="K18" s="12">
        <v>0</v>
      </c>
      <c r="M18" s="12">
        <v>0</v>
      </c>
      <c r="O18" s="13">
        <f>SUM(G18:M18)</f>
        <v>0</v>
      </c>
      <c r="Q18" s="12">
        <v>0</v>
      </c>
      <c r="S18" s="13">
        <f>IF(ISERROR(O18-Q18),0,O18-Q18)</f>
        <v>0</v>
      </c>
      <c r="AC18" s="8" t="str">
        <f>B18</f>
        <v>1.0.8</v>
      </c>
      <c r="AD18" s="883" t="str">
        <f>C18</f>
        <v>Threshold and Performance Pay (Devolved)</v>
      </c>
      <c r="AE18" s="883"/>
      <c r="AF18" s="883"/>
      <c r="AH18" s="452" t="s">
        <v>33</v>
      </c>
      <c r="AJ18" s="452" t="s">
        <v>33</v>
      </c>
      <c r="AL18" s="452" t="s">
        <v>33</v>
      </c>
      <c r="AN18" s="452" t="s">
        <v>33</v>
      </c>
      <c r="AP18" s="452" t="s">
        <v>33</v>
      </c>
      <c r="AR18" s="452">
        <f>IF(AND(Q18="",$H$1&lt;&gt;"*"),"",IF(AND(Q18="",$H$1="*"),"Error 1.1",IF(ISNUMBER(Q18)=FALSE,"Error 1.2",IF(Q18&lt;0,"Error 1.3",IF((Q18)-INT(Q18)&lt;&gt;0,"Warning 2.2","")))))</f>
      </c>
      <c r="AT18" s="452">
        <f>IF(AND(S18="",$H$1&lt;&gt;"*"),"",IF(AND(S18="",$H$1="*"),"Error 1.1",IF(ISNUMBER(S18)=FALSE,"Error 1.2",IF(S18&lt;0,"Error 1.3",IF((S18)-INT(S18)&lt;&gt;0,"Warning 2.2","")))))</f>
      </c>
      <c r="AU18" s="2">
        <f>IF(LEN(TRIM(AH18&amp;AJ18&amp;AL18&amp;AN18&amp;AP18&amp;AR18&amp;AT18))&gt;0,1,0)</f>
        <v>0</v>
      </c>
    </row>
    <row r="19" spans="2:33" ht="12.75">
      <c r="B19" s="9"/>
      <c r="C19" s="17"/>
      <c r="D19" s="17"/>
      <c r="E19" s="17"/>
      <c r="F19" s="11"/>
      <c r="G19" s="11"/>
      <c r="AC19" s="454"/>
      <c r="AD19" s="455"/>
      <c r="AE19" s="455"/>
      <c r="AF19" s="455"/>
      <c r="AG19" s="456"/>
    </row>
    <row r="20" spans="2:47" ht="12">
      <c r="B20" s="18" t="s">
        <v>63</v>
      </c>
      <c r="C20" s="880" t="s">
        <v>64</v>
      </c>
      <c r="D20" s="880"/>
      <c r="E20" s="880"/>
      <c r="F20" s="19"/>
      <c r="G20" s="12">
        <v>0</v>
      </c>
      <c r="I20" s="12">
        <v>0</v>
      </c>
      <c r="K20" s="12">
        <v>0</v>
      </c>
      <c r="M20" s="12">
        <v>0</v>
      </c>
      <c r="O20" s="13">
        <f t="shared" si="0"/>
        <v>0</v>
      </c>
      <c r="Q20" s="12">
        <v>0</v>
      </c>
      <c r="S20" s="13">
        <f t="shared" si="1"/>
        <v>0</v>
      </c>
      <c r="AC20" s="8" t="str">
        <f t="shared" si="2"/>
        <v>1.1.1</v>
      </c>
      <c r="AD20" s="883" t="str">
        <f t="shared" si="2"/>
        <v>Support for schools in financial difficulty</v>
      </c>
      <c r="AE20" s="883"/>
      <c r="AF20" s="883"/>
      <c r="AH20" s="452" t="s">
        <v>33</v>
      </c>
      <c r="AJ20" s="452" t="s">
        <v>33</v>
      </c>
      <c r="AL20" s="452" t="s">
        <v>33</v>
      </c>
      <c r="AN20" s="452" t="s">
        <v>33</v>
      </c>
      <c r="AP20" s="452" t="s">
        <v>33</v>
      </c>
      <c r="AR20" s="452">
        <f>IF(AND(Q20="",$H$1&lt;&gt;"*"),"",IF(AND(Q20="",$H$1="*"),"Error 1.1",IF(ISNUMBER(Q20)=FALSE,"Error 1.2",IF(Q20&lt;0,"Error 1.3",IF((Q20)-INT(Q20)&lt;&gt;0,"Warning 2.2","")))))</f>
      </c>
      <c r="AT20" s="452">
        <f>IF(AND(S20="",$H$1&lt;&gt;"*"),"",IF(AND(S20="",$H$1="*"),"Error 1.1",IF(ISNUMBER(S20)=FALSE,"Error 1.2",IF(S20&lt;0,"Error 1.3",IF((S20)-INT(S20)&lt;&gt;0,"Warning 2.2","")))))</f>
      </c>
      <c r="AU20" s="2">
        <f>IF(LEN(TRIM(AH20&amp;AJ20&amp;AL20&amp;AN20&amp;AP20&amp;AR20&amp;AT20))&gt;0,1,0)</f>
        <v>0</v>
      </c>
    </row>
    <row r="21" spans="2:47" ht="12">
      <c r="B21" s="18" t="s">
        <v>65</v>
      </c>
      <c r="C21" s="887" t="s">
        <v>66</v>
      </c>
      <c r="D21" s="887"/>
      <c r="E21" s="887"/>
      <c r="F21" s="19"/>
      <c r="G21" s="12">
        <v>0</v>
      </c>
      <c r="I21" s="12">
        <v>523746</v>
      </c>
      <c r="K21" s="12">
        <v>109450</v>
      </c>
      <c r="M21" s="12">
        <v>0</v>
      </c>
      <c r="O21" s="13">
        <f>SUM(G21:M21)</f>
        <v>633196</v>
      </c>
      <c r="Q21" s="12">
        <v>0</v>
      </c>
      <c r="S21" s="13">
        <f>IF(ISERROR(O21-Q21),0,O21-Q21)</f>
        <v>633196</v>
      </c>
      <c r="AC21" s="8" t="str">
        <f>B21</f>
        <v>1.1.2</v>
      </c>
      <c r="AD21" s="883" t="str">
        <f>C21</f>
        <v>School-specific contingencies</v>
      </c>
      <c r="AE21" s="883"/>
      <c r="AF21" s="883"/>
      <c r="AH21" s="452">
        <f>IF(AND(G21="",$H$1&lt;&gt;"*"),"",IF(AND(G21="",$H$1="*"),"Error 1.1",IF(ISNUMBER(G21)=FALSE,"Error 1.2",IF(G21&lt;0,"Error 1.3",IF((G21)-INT(G21)&lt;&gt;0,"Warning 2.2","")))))</f>
      </c>
      <c r="AJ21" s="452">
        <f>IF(AND(I21="",$H$1&lt;&gt;"*"),"",IF(AND(I21="",$H$1="*"),"Error 1.1",IF(ISNUMBER(I21)=FALSE,"Error 1.2",IF(I21&lt;0,"Error 1.3",IF((I21)-INT(I21)&lt;&gt;0,"Warning 2.2","")))))</f>
      </c>
      <c r="AL21" s="452">
        <f>IF(AND(K21="",$H$1&lt;&gt;"*"),"",IF(AND(K21="",$H$1="*"),"Error 1.1",IF(ISNUMBER(K21)=FALSE,"Error 1.2",IF(K21&lt;0,"Error 1.3",IF((K21)-INT(K21)&lt;&gt;0,"Warning 2.2","")))))</f>
      </c>
      <c r="AN21" s="452">
        <f>IF(AND(M21="",$H$1&lt;&gt;"*"),"",IF(AND(M21="",$H$1="*"),"Error 1.1",IF(ISNUMBER(M21)=FALSE,"Error 1.2",IF(M21&lt;0,"Error 1.3",IF((M21)-INT(M21)&lt;&gt;0,"Warning 2.2","")))))</f>
      </c>
      <c r="AP21" s="453"/>
      <c r="AR21" s="452">
        <f>IF(AND(Q21="",$H$1&lt;&gt;"*"),"",IF(AND(Q21="",$H$1="*"),"Error 1.1",IF(ISNUMBER(Q21)=FALSE,"Error 1.2",IF(Q21&lt;0,"Error 1.3",IF((Q21)-INT(Q21)&lt;&gt;0,"Warning 2.2","")))))</f>
      </c>
      <c r="AT21" s="452">
        <f>IF(AND(S21="",$H$1&lt;&gt;"*"),"",IF(AND(S21="",$H$1="*"),"Error 1.1",IF(ISNUMBER(S21)=FALSE,"Error 1.2",IF(S21&lt;0,"Error 1.3",IF((S21)-INT(S21)&lt;&gt;0,"Warning 2.2","")))))</f>
      </c>
      <c r="AU21" s="2">
        <f>IF(LEN(TRIM(AH21&amp;AJ21&amp;AL21&amp;AN21&amp;AP21&amp;AR21&amp;AT21))&gt;0,1,0)</f>
        <v>0</v>
      </c>
    </row>
    <row r="22" spans="2:47" ht="12">
      <c r="B22" s="18" t="s">
        <v>67</v>
      </c>
      <c r="C22" s="887" t="s">
        <v>68</v>
      </c>
      <c r="D22" s="887"/>
      <c r="E22" s="887"/>
      <c r="F22" s="19"/>
      <c r="G22" s="20"/>
      <c r="I22" s="20"/>
      <c r="K22" s="12">
        <v>189000</v>
      </c>
      <c r="M22" s="12">
        <v>0</v>
      </c>
      <c r="O22" s="13">
        <f t="shared" si="0"/>
        <v>189000</v>
      </c>
      <c r="Q22" s="12">
        <v>0</v>
      </c>
      <c r="S22" s="13">
        <f t="shared" si="1"/>
        <v>189000</v>
      </c>
      <c r="AC22" s="8" t="str">
        <f t="shared" si="2"/>
        <v>1.1.3</v>
      </c>
      <c r="AD22" s="883" t="str">
        <f t="shared" si="2"/>
        <v>14 - 16 More Practical Learning Options</v>
      </c>
      <c r="AE22" s="883"/>
      <c r="AF22" s="883"/>
      <c r="AH22" s="463"/>
      <c r="AJ22" s="463"/>
      <c r="AL22" s="452">
        <f>IF(AND(K22="",$H$1&lt;&gt;"*"),"",IF(AND(K22="",$H$1="*"),"Error 1.1",IF(ISNUMBER(K22)=FALSE,"Error 1.2",IF(K22&lt;0,"Error 1.3",IF((K22)-INT(K22)&lt;&gt;0,"Warning 2.2","")))))</f>
      </c>
      <c r="AN22" s="452">
        <f>IF(AND(M22="",$H$1&lt;&gt;"*"),"",IF(AND(M22="",$H$1="*"),"Error 1.1",IF(ISNUMBER(M22)=FALSE,"Error 1.2",IF(M22&lt;0,"Error 1.3",IF((M22)-INT(M22)&lt;&gt;0,"Warning 2.2","")))))</f>
      </c>
      <c r="AP22" s="453"/>
      <c r="AR22" s="452">
        <f>IF(AND(Q22="",$H$1&lt;&gt;"*"),"",IF(AND(Q22="",$H$1="*"),"Error 1.1",IF(ISNUMBER(Q22)=FALSE,"Error 1.2",IF(Q22&lt;0,"Error 1.3",IF((Q22)-INT(Q22)&lt;&gt;0,"Warning 2.2","")))))</f>
      </c>
      <c r="AT22" s="452">
        <f>IF(AND(S22="",$H$1&lt;&gt;"*"),"",IF(AND(S22="",$H$1="*"),"Error 1.1",IF(ISNUMBER(S22)=FALSE,"Error 1.2",IF(S22&lt;0,"Error 1.3",IF((S22)-INT(S22)&lt;&gt;0,"Warning 2.2","")))))</f>
      </c>
      <c r="AU22" s="2">
        <f>IF(LEN(TRIM(AH22&amp;AJ22&amp;AL22&amp;AN22&amp;AP22&amp;AR22&amp;AT22))&gt;0,1,0)</f>
        <v>0</v>
      </c>
    </row>
    <row r="23" spans="2:33" ht="12.75">
      <c r="B23" s="18"/>
      <c r="C23" s="21"/>
      <c r="D23" s="22"/>
      <c r="E23" s="22"/>
      <c r="F23" s="19"/>
      <c r="G23" s="11"/>
      <c r="AC23" s="454"/>
      <c r="AD23" s="455"/>
      <c r="AE23" s="455"/>
      <c r="AF23" s="455"/>
      <c r="AG23" s="456"/>
    </row>
    <row r="24" spans="2:47" ht="12">
      <c r="B24" s="18" t="s">
        <v>69</v>
      </c>
      <c r="C24" s="887" t="s">
        <v>70</v>
      </c>
      <c r="D24" s="887"/>
      <c r="E24" s="887"/>
      <c r="F24" s="19"/>
      <c r="G24" s="12">
        <v>0</v>
      </c>
      <c r="I24" s="12">
        <v>356141</v>
      </c>
      <c r="K24" s="12">
        <v>228485</v>
      </c>
      <c r="M24" s="12">
        <v>131340</v>
      </c>
      <c r="O24" s="13">
        <f t="shared" si="0"/>
        <v>715966</v>
      </c>
      <c r="Q24" s="12">
        <v>0</v>
      </c>
      <c r="S24" s="13">
        <f t="shared" si="1"/>
        <v>715966</v>
      </c>
      <c r="AC24" s="8" t="str">
        <f t="shared" si="2"/>
        <v>1.2.1</v>
      </c>
      <c r="AD24" s="883" t="str">
        <f t="shared" si="2"/>
        <v>Provision for pupils with SEN, with and without statements</v>
      </c>
      <c r="AE24" s="883"/>
      <c r="AF24" s="883"/>
      <c r="AH24" s="452">
        <f aca="true" t="shared" si="5" ref="AH24:AN30">IF(AND(G24="",$H$1&lt;&gt;"*"),"",IF(AND(G24="",$H$1="*"),"Error 1.1",IF(ISNUMBER(G24)=FALSE,"Error 1.2",IF(G24&lt;0,"Error 1.3",IF((G24)-INT(G24)&lt;&gt;0,"Warning 2.2","")))))</f>
      </c>
      <c r="AJ24" s="452">
        <f t="shared" si="5"/>
      </c>
      <c r="AL24" s="452">
        <f t="shared" si="5"/>
      </c>
      <c r="AN24" s="452">
        <f t="shared" si="5"/>
      </c>
      <c r="AP24" s="453"/>
      <c r="AR24" s="452">
        <f aca="true" t="shared" si="6" ref="AR24:AR30">IF(AND(Q24="",$H$1&lt;&gt;"*"),"",IF(AND(Q24="",$H$1="*"),"Error 1.1",IF(ISNUMBER(Q24)=FALSE,"Error 1.2",IF(Q24&lt;0,"Error 1.3",IF((Q24)-INT(Q24)&lt;&gt;0,"Warning 2.2","")))))</f>
      </c>
      <c r="AT24" s="452">
        <f aca="true" t="shared" si="7" ref="AT24:AT30">IF(AND(S24="",$H$1&lt;&gt;"*"),"",IF(AND(S24="",$H$1="*"),"Error 1.1",IF(ISNUMBER(S24)=FALSE,"Error 1.2",IF(S24&lt;0,"Error 1.3",IF((S24)-INT(S24)&lt;&gt;0,"Warning 2.2","")))))</f>
      </c>
      <c r="AU24" s="2">
        <f aca="true" t="shared" si="8" ref="AU24:AU31">IF(LEN(TRIM(AH24&amp;AJ24&amp;AL24&amp;AN24&amp;AP24&amp;AR24&amp;AT24))&gt;0,1,0)</f>
        <v>0</v>
      </c>
    </row>
    <row r="25" spans="2:47" ht="25.5" customHeight="1">
      <c r="B25" s="18" t="s">
        <v>71</v>
      </c>
      <c r="C25" s="880" t="s">
        <v>72</v>
      </c>
      <c r="D25" s="880"/>
      <c r="E25" s="880"/>
      <c r="F25" s="19"/>
      <c r="G25" s="23">
        <v>0</v>
      </c>
      <c r="I25" s="23">
        <v>1936384</v>
      </c>
      <c r="K25" s="23">
        <v>983087</v>
      </c>
      <c r="M25" s="23">
        <v>59582</v>
      </c>
      <c r="O25" s="24">
        <f t="shared" si="0"/>
        <v>2979053</v>
      </c>
      <c r="Q25" s="23">
        <v>64610</v>
      </c>
      <c r="S25" s="24">
        <f t="shared" si="1"/>
        <v>2914443</v>
      </c>
      <c r="AC25" s="464" t="str">
        <f t="shared" si="2"/>
        <v>1.2.2</v>
      </c>
      <c r="AD25" s="881" t="str">
        <f t="shared" si="2"/>
        <v>Provision for pupils with SEN, with and without statements, not included in line 1.2.1</v>
      </c>
      <c r="AE25" s="881"/>
      <c r="AF25" s="881"/>
      <c r="AH25" s="465">
        <f t="shared" si="5"/>
      </c>
      <c r="AJ25" s="465">
        <f t="shared" si="5"/>
      </c>
      <c r="AL25" s="465">
        <f t="shared" si="5"/>
      </c>
      <c r="AN25" s="465">
        <f t="shared" si="5"/>
      </c>
      <c r="AP25" s="466"/>
      <c r="AR25" s="465">
        <f t="shared" si="6"/>
      </c>
      <c r="AT25" s="465">
        <f t="shared" si="7"/>
      </c>
      <c r="AU25" s="25">
        <f t="shared" si="8"/>
        <v>0</v>
      </c>
    </row>
    <row r="26" spans="2:47" ht="12">
      <c r="B26" s="18" t="s">
        <v>73</v>
      </c>
      <c r="C26" s="887" t="s">
        <v>74</v>
      </c>
      <c r="D26" s="887"/>
      <c r="E26" s="887"/>
      <c r="F26" s="19"/>
      <c r="G26" s="12">
        <v>0</v>
      </c>
      <c r="I26" s="12">
        <v>0</v>
      </c>
      <c r="K26" s="12">
        <v>38360</v>
      </c>
      <c r="M26" s="12">
        <v>0</v>
      </c>
      <c r="O26" s="13">
        <f t="shared" si="0"/>
        <v>38360</v>
      </c>
      <c r="Q26" s="12">
        <v>0</v>
      </c>
      <c r="S26" s="13">
        <f t="shared" si="1"/>
        <v>38360</v>
      </c>
      <c r="AC26" s="8" t="str">
        <f t="shared" si="2"/>
        <v>1.2.3</v>
      </c>
      <c r="AD26" s="883" t="str">
        <f t="shared" si="2"/>
        <v>Support for inclusion</v>
      </c>
      <c r="AE26" s="883"/>
      <c r="AF26" s="883"/>
      <c r="AH26" s="452">
        <f t="shared" si="5"/>
      </c>
      <c r="AJ26" s="452">
        <f t="shared" si="5"/>
      </c>
      <c r="AL26" s="452">
        <f t="shared" si="5"/>
      </c>
      <c r="AN26" s="452">
        <f t="shared" si="5"/>
      </c>
      <c r="AP26" s="453"/>
      <c r="AR26" s="452">
        <f t="shared" si="6"/>
      </c>
      <c r="AT26" s="452">
        <f t="shared" si="7"/>
      </c>
      <c r="AU26" s="2">
        <f t="shared" si="8"/>
        <v>0</v>
      </c>
    </row>
    <row r="27" spans="2:47" ht="12">
      <c r="B27" s="18" t="s">
        <v>75</v>
      </c>
      <c r="C27" s="887" t="s">
        <v>76</v>
      </c>
      <c r="D27" s="887"/>
      <c r="E27" s="887"/>
      <c r="F27" s="19"/>
      <c r="G27" s="12">
        <v>0</v>
      </c>
      <c r="I27" s="12">
        <v>0</v>
      </c>
      <c r="K27" s="12">
        <v>0</v>
      </c>
      <c r="M27" s="12">
        <v>1133910</v>
      </c>
      <c r="O27" s="13">
        <f t="shared" si="0"/>
        <v>1133910</v>
      </c>
      <c r="Q27" s="12">
        <v>0</v>
      </c>
      <c r="S27" s="13">
        <f t="shared" si="1"/>
        <v>1133910</v>
      </c>
      <c r="AC27" s="8" t="str">
        <f t="shared" si="2"/>
        <v>1.2.4</v>
      </c>
      <c r="AD27" s="883" t="str">
        <f t="shared" si="2"/>
        <v>Fees for pupils at independent special schools &amp; abroad</v>
      </c>
      <c r="AE27" s="883"/>
      <c r="AF27" s="883"/>
      <c r="AH27" s="452">
        <f t="shared" si="5"/>
      </c>
      <c r="AJ27" s="452">
        <f t="shared" si="5"/>
      </c>
      <c r="AL27" s="452">
        <f t="shared" si="5"/>
      </c>
      <c r="AN27" s="452">
        <f t="shared" si="5"/>
      </c>
      <c r="AP27" s="453"/>
      <c r="AR27" s="452">
        <f t="shared" si="6"/>
      </c>
      <c r="AT27" s="452">
        <f t="shared" si="7"/>
      </c>
      <c r="AU27" s="2">
        <f t="shared" si="8"/>
        <v>0</v>
      </c>
    </row>
    <row r="28" spans="2:47" ht="12">
      <c r="B28" s="18" t="s">
        <v>77</v>
      </c>
      <c r="C28" s="880" t="s">
        <v>78</v>
      </c>
      <c r="D28" s="880"/>
      <c r="E28" s="880"/>
      <c r="F28" s="26"/>
      <c r="G28" s="12">
        <v>0</v>
      </c>
      <c r="I28" s="12">
        <v>0</v>
      </c>
      <c r="K28" s="12">
        <v>0</v>
      </c>
      <c r="M28" s="12">
        <v>0</v>
      </c>
      <c r="O28" s="13">
        <f t="shared" si="0"/>
        <v>0</v>
      </c>
      <c r="Q28" s="12">
        <v>0</v>
      </c>
      <c r="S28" s="13">
        <f t="shared" si="1"/>
        <v>0</v>
      </c>
      <c r="AC28" s="8" t="str">
        <f aca="true" t="shared" si="9" ref="AC28:AD31">B28</f>
        <v>1.2.5</v>
      </c>
      <c r="AD28" s="883" t="str">
        <f t="shared" si="9"/>
        <v>Fees to independent schools for pupils without statements of SEN</v>
      </c>
      <c r="AE28" s="883"/>
      <c r="AF28" s="883"/>
      <c r="AH28" s="452">
        <f t="shared" si="5"/>
      </c>
      <c r="AJ28" s="452">
        <f t="shared" si="5"/>
      </c>
      <c r="AL28" s="452">
        <f t="shared" si="5"/>
      </c>
      <c r="AN28" s="452">
        <f t="shared" si="5"/>
      </c>
      <c r="AP28" s="453"/>
      <c r="AR28" s="452">
        <f t="shared" si="6"/>
      </c>
      <c r="AT28" s="452">
        <f t="shared" si="7"/>
      </c>
      <c r="AU28" s="2">
        <f t="shared" si="8"/>
        <v>0</v>
      </c>
    </row>
    <row r="29" spans="2:47" ht="12">
      <c r="B29" s="18" t="s">
        <v>79</v>
      </c>
      <c r="C29" s="880" t="s">
        <v>80</v>
      </c>
      <c r="D29" s="880"/>
      <c r="E29" s="880"/>
      <c r="F29" s="26"/>
      <c r="G29" s="12">
        <v>0</v>
      </c>
      <c r="I29" s="12">
        <v>0</v>
      </c>
      <c r="K29" s="12">
        <v>0</v>
      </c>
      <c r="M29" s="12">
        <v>0</v>
      </c>
      <c r="O29" s="13">
        <f>SUM(G29:M29)</f>
        <v>0</v>
      </c>
      <c r="Q29" s="12">
        <v>0</v>
      </c>
      <c r="S29" s="13">
        <f>IF(ISERROR(O29-Q29),0,O29-Q29)</f>
        <v>0</v>
      </c>
      <c r="AC29" s="8" t="str">
        <f>B29</f>
        <v>1.2.6</v>
      </c>
      <c r="AD29" s="883" t="str">
        <f>C29</f>
        <v>SEN transport</v>
      </c>
      <c r="AE29" s="883"/>
      <c r="AF29" s="883"/>
      <c r="AH29" s="452">
        <f>IF(AND(G29="",$H$1&lt;&gt;"*"),"",IF(AND(G29="",$H$1="*"),"Error 1.1",IF(ISNUMBER(G29)=FALSE,"Error 1.2",IF(G29&lt;0,"Error 1.3",IF((G29)-INT(G29)&lt;&gt;0,"Warning 2.2","")))))</f>
      </c>
      <c r="AJ29" s="452">
        <f>IF(AND(I29="",$H$1&lt;&gt;"*"),"",IF(AND(I29="",$H$1="*"),"Error 1.1",IF(ISNUMBER(I29)=FALSE,"Error 1.2",IF(I29&lt;0,"Error 1.3",IF((I29)-INT(I29)&lt;&gt;0,"Warning 2.2","")))))</f>
      </c>
      <c r="AL29" s="452">
        <f>IF(AND(K29="",$H$1&lt;&gt;"*"),"",IF(AND(K29="",$H$1="*"),"Error 1.1",IF(ISNUMBER(K29)=FALSE,"Error 1.2",IF(K29&lt;0,"Error 1.3",IF((K29)-INT(K29)&lt;&gt;0,"Warning 2.2","")))))</f>
      </c>
      <c r="AN29" s="452">
        <f>IF(AND(M29="",$H$1&lt;&gt;"*"),"",IF(AND(M29="",$H$1="*"),"Error 1.1",IF(ISNUMBER(M29)=FALSE,"Error 1.2",IF(M29&lt;0,"Error 1.3",IF((M29)-INT(M29)&lt;&gt;0,"Warning 2.2","")))))</f>
      </c>
      <c r="AP29" s="453"/>
      <c r="AR29" s="452">
        <f>IF(AND(Q29="",$H$1&lt;&gt;"*"),"",IF(AND(Q29="",$H$1="*"),"Error 1.1",IF(ISNUMBER(Q29)=FALSE,"Error 1.2",IF(Q29&lt;0,"Error 1.3",IF((Q29)-INT(Q29)&lt;&gt;0,"Warning 2.2","")))))</f>
      </c>
      <c r="AT29" s="452">
        <f>IF(AND(S29="",$H$1&lt;&gt;"*"),"",IF(AND(S29="",$H$1="*"),"Error 1.1",IF(ISNUMBER(S29)=FALSE,"Error 1.2",IF(S29&lt;0,"Error 1.3",IF((S29)-INT(S29)&lt;&gt;0,"Warning 2.2","")))))</f>
      </c>
      <c r="AU29" s="2">
        <f>IF(LEN(TRIM(AH29&amp;AJ29&amp;AL29&amp;AN29&amp;AP29&amp;AR29&amp;AT29))&gt;0,1,0)</f>
        <v>0</v>
      </c>
    </row>
    <row r="30" spans="2:47" ht="12.75" customHeight="1">
      <c r="B30" s="18" t="s">
        <v>81</v>
      </c>
      <c r="C30" s="890" t="s">
        <v>82</v>
      </c>
      <c r="D30" s="890"/>
      <c r="E30" s="890"/>
      <c r="F30" s="27"/>
      <c r="G30" s="12">
        <v>0</v>
      </c>
      <c r="I30" s="12">
        <v>94660</v>
      </c>
      <c r="K30" s="12">
        <v>104710</v>
      </c>
      <c r="M30" s="12">
        <v>1990</v>
      </c>
      <c r="O30" s="13">
        <f t="shared" si="0"/>
        <v>201360</v>
      </c>
      <c r="Q30" s="12">
        <v>0</v>
      </c>
      <c r="S30" s="13">
        <f t="shared" si="1"/>
        <v>201360</v>
      </c>
      <c r="AC30" s="8" t="str">
        <f t="shared" si="9"/>
        <v>1.2.7</v>
      </c>
      <c r="AD30" s="883" t="str">
        <f t="shared" si="9"/>
        <v>Contribution to combined budgets </v>
      </c>
      <c r="AE30" s="883"/>
      <c r="AF30" s="883"/>
      <c r="AH30" s="452">
        <f t="shared" si="5"/>
      </c>
      <c r="AJ30" s="452">
        <f t="shared" si="5"/>
      </c>
      <c r="AL30" s="452">
        <f t="shared" si="5"/>
      </c>
      <c r="AN30" s="452">
        <f t="shared" si="5"/>
      </c>
      <c r="AP30" s="453"/>
      <c r="AR30" s="452">
        <f t="shared" si="6"/>
      </c>
      <c r="AT30" s="452">
        <f t="shared" si="7"/>
      </c>
      <c r="AU30" s="2">
        <f t="shared" si="8"/>
        <v>0</v>
      </c>
    </row>
    <row r="31" spans="2:47" ht="12">
      <c r="B31" s="18" t="s">
        <v>83</v>
      </c>
      <c r="C31" s="890" t="s">
        <v>84</v>
      </c>
      <c r="D31" s="890"/>
      <c r="E31" s="890"/>
      <c r="F31" s="28"/>
      <c r="G31" s="12">
        <v>0</v>
      </c>
      <c r="I31" s="12">
        <v>0</v>
      </c>
      <c r="K31" s="12">
        <v>0</v>
      </c>
      <c r="M31" s="12">
        <v>853975</v>
      </c>
      <c r="O31" s="13">
        <f t="shared" si="0"/>
        <v>853975</v>
      </c>
      <c r="Q31" s="12">
        <v>501430</v>
      </c>
      <c r="S31" s="13">
        <f t="shared" si="1"/>
        <v>352545</v>
      </c>
      <c r="AC31" s="8" t="str">
        <f t="shared" si="9"/>
        <v>1.2.8</v>
      </c>
      <c r="AD31" s="883" t="str">
        <f t="shared" si="9"/>
        <v>Inter-authority recoupment</v>
      </c>
      <c r="AE31" s="883"/>
      <c r="AF31" s="883"/>
      <c r="AH31" s="452">
        <f>IF(AND(G31="",$H$1&lt;&gt;"*"),"",IF(AND(G31="",$H$1="*"),"Error 1.1",IF(ISNUMBER(G31)=FALSE,"Error 1.2",IF((G31)-INT(G31)&lt;&gt;0,"Warning 2.2",""))))</f>
      </c>
      <c r="AJ31" s="452">
        <f>IF(AND(I31="",$H$1&lt;&gt;"*"),"",IF(AND(I31="",$H$1="*"),"Error 1.1",IF(ISNUMBER(I31)=FALSE,"Error 1.2",IF((I31)-INT(I31)&lt;&gt;0,"Warning 2.2",""))))</f>
      </c>
      <c r="AL31" s="452">
        <f>IF(AND(K31="",$H$1&lt;&gt;"*"),"",IF(AND(K31="",$H$1="*"),"Error 1.1",IF(ISNUMBER(K31)=FALSE,"Error 1.2",IF((K31)-INT(K31)&lt;&gt;0,"Warning 2.2",""))))</f>
      </c>
      <c r="AN31" s="452">
        <f>IF(AND(M31="",$H$1&lt;&gt;"*"),"",IF(AND(M31="",$H$1="*"),"Error 1.1",IF(ISNUMBER(M31)=FALSE,"Error 1.2",IF((M31)-INT(M31)&lt;&gt;0,"Warning 2.2",""))))</f>
      </c>
      <c r="AP31" s="453"/>
      <c r="AR31" s="452">
        <f>IF(AND(Q31="",$H$1&lt;&gt;"*"),"",IF(AND(Q31="",$H$1="*"),"Error 1.1",IF(ISNUMBER(Q31)=FALSE,"Error 1.2",IF((Q31)-INT(Q31)&lt;&gt;0,"Warning 2.2",""))))</f>
      </c>
      <c r="AT31" s="452">
        <f>IF(AND(S31="",$H$1&lt;&gt;"*"),"",IF(AND(S31="",$H$1="*"),"Error 1.1",IF(ISNUMBER(S31)=FALSE,"Error 1.2",IF((S31)-INT(S31)&lt;&gt;0,"Warning 2.2",""))))</f>
      </c>
      <c r="AU31" s="2">
        <f t="shared" si="8"/>
        <v>0</v>
      </c>
    </row>
    <row r="32" spans="2:7" ht="12">
      <c r="B32" s="29"/>
      <c r="C32" s="29"/>
      <c r="D32" s="29"/>
      <c r="E32" s="29"/>
      <c r="F32" s="11"/>
      <c r="G32" s="11"/>
    </row>
    <row r="33" spans="2:47" ht="12">
      <c r="B33" s="18" t="s">
        <v>85</v>
      </c>
      <c r="C33" s="887" t="s">
        <v>86</v>
      </c>
      <c r="D33" s="887"/>
      <c r="E33" s="887"/>
      <c r="F33" s="19"/>
      <c r="G33" s="12">
        <v>0</v>
      </c>
      <c r="I33" s="12">
        <v>186343</v>
      </c>
      <c r="K33" s="12">
        <v>890285</v>
      </c>
      <c r="M33" s="12">
        <v>0</v>
      </c>
      <c r="O33" s="13">
        <f>SUM(G33:M33)</f>
        <v>1076628</v>
      </c>
      <c r="Q33" s="12">
        <v>15390</v>
      </c>
      <c r="S33" s="13">
        <f>IF(ISERROR(O33-Q33),0,O33-Q33)</f>
        <v>1061238</v>
      </c>
      <c r="AC33" s="8" t="str">
        <f aca="true" t="shared" si="10" ref="AC33:AD36">B33</f>
        <v>1.3.1</v>
      </c>
      <c r="AD33" s="883" t="str">
        <f t="shared" si="10"/>
        <v>Pupil Referral Units</v>
      </c>
      <c r="AE33" s="883"/>
      <c r="AF33" s="883"/>
      <c r="AH33" s="452">
        <f>IF(AND(G33="",$H$1&lt;&gt;"*"),"",IF(AND(G33="",$H$1="*"),"Error 1.1",IF(ISNUMBER(G33)=FALSE,"Error 1.2",IF(G33&lt;0,"Error 1.3",IF((G33)-INT(G33)&lt;&gt;0,"Warning 2.2","")))))</f>
      </c>
      <c r="AJ33" s="452">
        <f>IF(AND(I33="",$H$1&lt;&gt;"*"),"",IF(AND(I33="",$H$1="*"),"Error 1.1",IF(ISNUMBER(I33)=FALSE,"Error 1.2",IF(I33&lt;0,"Error 1.3",IF((I33)-INT(I33)&lt;&gt;0,"Warning 2.2","")))))</f>
      </c>
      <c r="AL33" s="452">
        <f>IF(AND(K33="",$H$1&lt;&gt;"*"),"",IF(AND(K33="",$H$1="*"),"Error 1.1",IF(ISNUMBER(K33)=FALSE,"Error 1.2",IF(K33&lt;0,"Error 1.3",IF((K33)-INT(K33)&lt;&gt;0,"Warning 2.2","")))))</f>
      </c>
      <c r="AN33" s="452">
        <f>IF(AND(M33="",$H$1&lt;&gt;"*"),"",IF(AND(M33="",$H$1="*"),"Error 1.1",IF(ISNUMBER(M33)=FALSE,"Error 1.2",IF(M33&lt;0,"Error 1.3",IF((M33)-INT(M33)&lt;&gt;0,"Warning 2.2","")))))</f>
      </c>
      <c r="AP33" s="453"/>
      <c r="AR33" s="452">
        <f>IF(AND(Q33="",$H$1&lt;&gt;"*"),"",IF(AND(Q33="",$H$1="*"),"Error 1.1",IF(ISNUMBER(Q33)=FALSE,"Error 1.2",IF(Q33&lt;0,"Error 1.3",IF((Q33)-INT(Q33)&lt;&gt;0,"Warning 2.2","")))))</f>
      </c>
      <c r="AT33" s="452">
        <f>IF(AND(S33="",$H$1&lt;&gt;"*"),"",IF(AND(S33="",$H$1="*"),"Error 1.1",IF(ISNUMBER(S33)=FALSE,"Error 1.2",IF(S33&lt;0,"Error 1.3",IF((S33)-INT(S33)&lt;&gt;0,"Warning 2.2","")))))</f>
      </c>
      <c r="AU33" s="2">
        <f>IF(LEN(TRIM(AH33&amp;AJ33&amp;AL33&amp;AN33&amp;AP33&amp;AR33&amp;AT33))&gt;0,1,0)</f>
        <v>0</v>
      </c>
    </row>
    <row r="34" spans="2:47" ht="12">
      <c r="B34" s="18" t="s">
        <v>87</v>
      </c>
      <c r="C34" s="887" t="s">
        <v>88</v>
      </c>
      <c r="D34" s="887"/>
      <c r="E34" s="887"/>
      <c r="F34" s="19"/>
      <c r="G34" s="12">
        <v>0</v>
      </c>
      <c r="I34" s="12">
        <v>0</v>
      </c>
      <c r="K34" s="12">
        <v>0</v>
      </c>
      <c r="M34" s="12">
        <v>0</v>
      </c>
      <c r="O34" s="13">
        <f>SUM(G34:M34)</f>
        <v>0</v>
      </c>
      <c r="Q34" s="12">
        <v>0</v>
      </c>
      <c r="S34" s="13">
        <f>IF(ISERROR(O34-Q34),0,O34-Q34)</f>
        <v>0</v>
      </c>
      <c r="AC34" s="8" t="str">
        <f t="shared" si="10"/>
        <v>1.3.2</v>
      </c>
      <c r="AD34" s="883" t="str">
        <f t="shared" si="10"/>
        <v>Behaviour Support Services</v>
      </c>
      <c r="AE34" s="883"/>
      <c r="AF34" s="883"/>
      <c r="AH34" s="452">
        <f>IF(AND(G34="",$H$1&lt;&gt;"*"),"",IF(AND(G34="",$H$1="*"),"Error 1.1",IF(ISNUMBER(G34)=FALSE,"Error 1.2",IF(G34&lt;0,"Error 1.3",IF((G34)-INT(G34)&lt;&gt;0,"Warning 2.2","")))))</f>
      </c>
      <c r="AJ34" s="452">
        <f>IF(AND(I34="",$H$1&lt;&gt;"*"),"",IF(AND(I34="",$H$1="*"),"Error 1.1",IF(ISNUMBER(I34)=FALSE,"Error 1.2",IF(I34&lt;0,"Error 1.3",IF((I34)-INT(I34)&lt;&gt;0,"Warning 2.2","")))))</f>
      </c>
      <c r="AL34" s="452">
        <f>IF(AND(K34="",$H$1&lt;&gt;"*"),"",IF(AND(K34="",$H$1="*"),"Error 1.1",IF(ISNUMBER(K34)=FALSE,"Error 1.2",IF(K34&lt;0,"Error 1.3",IF((K34)-INT(K34)&lt;&gt;0,"Warning 2.2","")))))</f>
      </c>
      <c r="AN34" s="452">
        <f>IF(AND(M34="",$H$1&lt;&gt;"*"),"",IF(AND(M34="",$H$1="*"),"Error 1.1",IF(ISNUMBER(M34)=FALSE,"Error 1.2",IF(M34&lt;0,"Error 1.3",IF((M34)-INT(M34)&lt;&gt;0,"Warning 2.2","")))))</f>
      </c>
      <c r="AP34" s="453"/>
      <c r="AR34" s="452">
        <f>IF(AND(Q34="",$H$1&lt;&gt;"*"),"",IF(AND(Q34="",$H$1="*"),"Error 1.1",IF(ISNUMBER(Q34)=FALSE,"Error 1.2",IF(Q34&lt;0,"Error 1.3",IF((Q34)-INT(Q34)&lt;&gt;0,"Warning 2.2","")))))</f>
      </c>
      <c r="AT34" s="452">
        <f>IF(AND(S34="",$H$1&lt;&gt;"*"),"",IF(AND(S34="",$H$1="*"),"Error 1.1",IF(ISNUMBER(S34)=FALSE,"Error 1.2",IF(S34&lt;0,"Error 1.3",IF((S34)-INT(S34)&lt;&gt;0,"Warning 2.2","")))))</f>
      </c>
      <c r="AU34" s="2">
        <f>IF(LEN(TRIM(AH34&amp;AJ34&amp;AL34&amp;AN34&amp;AP34&amp;AR34&amp;AT34))&gt;0,1,0)</f>
        <v>0</v>
      </c>
    </row>
    <row r="35" spans="2:47" ht="12">
      <c r="B35" s="18" t="s">
        <v>89</v>
      </c>
      <c r="C35" s="887" t="s">
        <v>90</v>
      </c>
      <c r="D35" s="887"/>
      <c r="E35" s="887"/>
      <c r="F35" s="19"/>
      <c r="G35" s="12">
        <v>0</v>
      </c>
      <c r="I35" s="12">
        <v>56623</v>
      </c>
      <c r="K35" s="12">
        <v>44440</v>
      </c>
      <c r="M35" s="12">
        <v>1191</v>
      </c>
      <c r="O35" s="13">
        <f>SUM(G35:M35)</f>
        <v>102254</v>
      </c>
      <c r="Q35" s="12">
        <v>0</v>
      </c>
      <c r="S35" s="13">
        <f>IF(ISERROR(O35-Q35),0,O35-Q35)</f>
        <v>102254</v>
      </c>
      <c r="AC35" s="8" t="str">
        <f t="shared" si="10"/>
        <v>1.3.3</v>
      </c>
      <c r="AD35" s="883" t="str">
        <f t="shared" si="10"/>
        <v>Education out of school</v>
      </c>
      <c r="AE35" s="883"/>
      <c r="AF35" s="883"/>
      <c r="AH35" s="452">
        <f>IF(AND(G35="",$H$1&lt;&gt;"*"),"",IF(AND(G35="",$H$1="*"),"Error 1.1",IF(ISNUMBER(G35)=FALSE,"Error 1.2",IF(G35&lt;0,"Error 1.3",IF((G35)-INT(G35)&lt;&gt;0,"Warning 2.2","")))))</f>
      </c>
      <c r="AJ35" s="452">
        <f>IF(AND(I35="",$H$1&lt;&gt;"*"),"",IF(AND(I35="",$H$1="*"),"Error 1.1",IF(ISNUMBER(I35)=FALSE,"Error 1.2",IF(I35&lt;0,"Error 1.3",IF((I35)-INT(I35)&lt;&gt;0,"Warning 2.2","")))))</f>
      </c>
      <c r="AL35" s="452">
        <f>IF(AND(K35="",$H$1&lt;&gt;"*"),"",IF(AND(K35="",$H$1="*"),"Error 1.1",IF(ISNUMBER(K35)=FALSE,"Error 1.2",IF(K35&lt;0,"Error 1.3",IF((K35)-INT(K35)&lt;&gt;0,"Warning 2.2","")))))</f>
      </c>
      <c r="AN35" s="452">
        <f>IF(AND(M35="",$H$1&lt;&gt;"*"),"",IF(AND(M35="",$H$1="*"),"Error 1.1",IF(ISNUMBER(M35)=FALSE,"Error 1.2",IF(M35&lt;0,"Error 1.3",IF((M35)-INT(M35)&lt;&gt;0,"Warning 2.2","")))))</f>
      </c>
      <c r="AP35" s="453"/>
      <c r="AR35" s="452">
        <f>IF(AND(Q35="",$H$1&lt;&gt;"*"),"",IF(AND(Q35="",$H$1="*"),"Error 1.1",IF(ISNUMBER(Q35)=FALSE,"Error 1.2",IF(Q35&lt;0,"Error 1.3",IF((Q35)-INT(Q35)&lt;&gt;0,"Warning 2.2","")))))</f>
      </c>
      <c r="AT35" s="452">
        <f>IF(AND(S35="",$H$1&lt;&gt;"*"),"",IF(AND(S35="",$H$1="*"),"Error 1.1",IF(ISNUMBER(S35)=FALSE,"Error 1.2",IF(S35&lt;0,"Error 1.3",IF((S35)-INT(S35)&lt;&gt;0,"Warning 2.2","")))))</f>
      </c>
      <c r="AU35" s="2">
        <f>IF(LEN(TRIM(AH35&amp;AJ35&amp;AL35&amp;AN35&amp;AP35&amp;AR35&amp;AT35))&gt;0,1,0)</f>
        <v>0</v>
      </c>
    </row>
    <row r="36" spans="2:47" ht="12.75" customHeight="1">
      <c r="B36" s="30" t="s">
        <v>91</v>
      </c>
      <c r="C36" s="880" t="s">
        <v>92</v>
      </c>
      <c r="D36" s="880"/>
      <c r="E36" s="880"/>
      <c r="F36" s="27"/>
      <c r="G36" s="12">
        <v>1445690</v>
      </c>
      <c r="I36" s="14"/>
      <c r="K36" s="14"/>
      <c r="M36" s="14"/>
      <c r="O36" s="13">
        <f>SUM(G36:M36)</f>
        <v>1445690</v>
      </c>
      <c r="Q36" s="12">
        <v>0</v>
      </c>
      <c r="S36" s="13">
        <f>IF(ISERROR(O36-Q36),0,O36-Q36)</f>
        <v>1445690</v>
      </c>
      <c r="AC36" s="8" t="str">
        <f t="shared" si="10"/>
        <v>1.3.4</v>
      </c>
      <c r="AD36" s="883" t="str">
        <f t="shared" si="10"/>
        <v>Private/voluntary/independent fees for education of children under 5</v>
      </c>
      <c r="AE36" s="883"/>
      <c r="AF36" s="883"/>
      <c r="AH36" s="452">
        <f>IF(AND(G36="",$H$1&lt;&gt;"*"),"",IF(AND(G36="",$H$1="*"),"Error 1.1",IF(ISNUMBER(G36)=FALSE,"Error 1.2",IF(G36&lt;0,"Error 1.3",IF((G36)-INT(G36)&lt;&gt;0,"Warning 2.2","")))))</f>
      </c>
      <c r="AJ36" s="14"/>
      <c r="AL36" s="14"/>
      <c r="AN36" s="14"/>
      <c r="AP36" s="453"/>
      <c r="AR36" s="452">
        <f>IF(AND(Q36="",$H$1&lt;&gt;"*"),"",IF(AND(Q36="",$H$1="*"),"Error 1.1",IF(ISNUMBER(Q36)=FALSE,"Error 1.2",IF(Q36&lt;0,"Error 1.3",IF((Q36)-INT(Q36)&lt;&gt;0,"Warning 2.2","")))))</f>
      </c>
      <c r="AT36" s="452">
        <f>IF(AND(S36="",$H$1&lt;&gt;"*"),"",IF(AND(S36="",$H$1="*"),"Error 1.1",IF(ISNUMBER(S36)=FALSE,"Error 1.2",IF(S36&lt;0,"Error 1.3",IF((S36)-INT(S36)&lt;&gt;0,"Warning 2.2","")))))</f>
      </c>
      <c r="AU36" s="2">
        <f>IF(LEN(TRIM(AH36&amp;AJ36&amp;AL36&amp;AN36&amp;AP36&amp;AR36&amp;AT36))&gt;0,1,0)</f>
        <v>0</v>
      </c>
    </row>
    <row r="37" spans="2:42" ht="12">
      <c r="B37" s="18"/>
      <c r="C37" s="22"/>
      <c r="D37" s="22"/>
      <c r="E37" s="22"/>
      <c r="F37" s="19"/>
      <c r="G37" s="11"/>
      <c r="AP37" s="5"/>
    </row>
    <row r="38" spans="2:47" ht="12">
      <c r="B38" s="18" t="s">
        <v>93</v>
      </c>
      <c r="C38" s="887" t="s">
        <v>94</v>
      </c>
      <c r="D38" s="887"/>
      <c r="E38" s="887"/>
      <c r="F38" s="19"/>
      <c r="G38" s="12">
        <v>0</v>
      </c>
      <c r="I38" s="12">
        <v>2547560</v>
      </c>
      <c r="K38" s="14"/>
      <c r="M38" s="12">
        <v>93460</v>
      </c>
      <c r="O38" s="13">
        <f>SUM(G38:M38)</f>
        <v>2641020</v>
      </c>
      <c r="Q38" s="12">
        <v>2084830</v>
      </c>
      <c r="S38" s="13">
        <f>IF(ISERROR(O38-Q38),0,O38-Q38)</f>
        <v>556190</v>
      </c>
      <c r="AC38" s="8" t="str">
        <f aca="true" t="shared" si="11" ref="AC38:AD41">B38</f>
        <v>1.4.1</v>
      </c>
      <c r="AD38" s="883" t="str">
        <f t="shared" si="11"/>
        <v>School Meals  - nursery, primary and special schools</v>
      </c>
      <c r="AE38" s="883"/>
      <c r="AF38" s="883"/>
      <c r="AH38" s="452">
        <f>IF(AND(G38="",$H$1&lt;&gt;"*"),"",IF(AND(G38="",$H$1="*"),"Error 1.1",IF(ISNUMBER(G38)=FALSE,"Error 1.2",IF(G38&lt;0,"Error 1.3",IF((G38)-INT(G38)&lt;&gt;0,"Warning 2.2","")))))</f>
      </c>
      <c r="AJ38" s="452">
        <f>IF(AND(I38="",$H$1&lt;&gt;"*"),"",IF(AND(I38="",$H$1="*"),"Error 1.1",IF(ISNUMBER(I38)=FALSE,"Error 1.2",IF(I38&lt;0,"Error 1.3",IF((I38)-INT(I38)&lt;&gt;0,"Warning 2.2","")))))</f>
      </c>
      <c r="AL38" s="14"/>
      <c r="AN38" s="452">
        <f>IF(AND(M38="",$H$1&lt;&gt;"*"),"",IF(AND(M38="",$H$1="*"),"Error 1.1",IF(ISNUMBER(M38)=FALSE,"Error 1.2",IF(M38&lt;0,"Error 1.3",IF((M38)-INT(M38)&lt;&gt;0,"Warning 2.2","")))))</f>
      </c>
      <c r="AP38" s="453"/>
      <c r="AR38" s="452">
        <f>IF(AND(Q38="",$H$1&lt;&gt;"*"),"",IF(AND(Q38="",$H$1="*"),"Error 1.1",IF(ISNUMBER(Q38)=FALSE,"Error 1.2",IF(Q38&lt;0,"Error 1.3",IF((Q38)-INT(Q38)&lt;&gt;0,"Warning 2.2","")))))</f>
      </c>
      <c r="AT38" s="452">
        <f>IF(AND(S38="",$H$1&lt;&gt;"*"),"",IF(AND(S38="",$H$1="*"),"Error 1.1",IF(ISNUMBER(S38)=FALSE,"Error 1.2",IF(S38&lt;0,"Error 1.3",IF((S38)-INT(S38)&lt;&gt;0,"Warning 2.2","")))))</f>
      </c>
      <c r="AU38" s="2">
        <f>IF(LEN(TRIM(AH38&amp;AJ38&amp;AL38&amp;AN38&amp;AP38&amp;AR38&amp;AT38))&gt;0,1,0)</f>
        <v>0</v>
      </c>
    </row>
    <row r="39" spans="2:47" ht="12">
      <c r="B39" s="18" t="s">
        <v>95</v>
      </c>
      <c r="C39" s="887" t="s">
        <v>96</v>
      </c>
      <c r="D39" s="887"/>
      <c r="E39" s="887"/>
      <c r="F39" s="19"/>
      <c r="G39" s="12">
        <v>0</v>
      </c>
      <c r="I39" s="12">
        <v>19933</v>
      </c>
      <c r="K39" s="12">
        <v>15644</v>
      </c>
      <c r="M39" s="12">
        <v>419</v>
      </c>
      <c r="O39" s="13">
        <f>SUM(G39:M39)</f>
        <v>35996</v>
      </c>
      <c r="Q39" s="12">
        <v>0</v>
      </c>
      <c r="S39" s="13">
        <f>IF(ISERROR(O39-Q39),0,O39-Q39)</f>
        <v>35996</v>
      </c>
      <c r="AC39" s="8" t="str">
        <f t="shared" si="11"/>
        <v>1.4.2</v>
      </c>
      <c r="AD39" s="883" t="str">
        <f t="shared" si="11"/>
        <v>Free School Meals -  eligibility</v>
      </c>
      <c r="AE39" s="883"/>
      <c r="AF39" s="883"/>
      <c r="AH39" s="452">
        <f>IF(AND(G39="",$H$1&lt;&gt;"*"),"",IF(AND(G39="",$H$1="*"),"Error 1.1",IF(ISNUMBER(G39)=FALSE,"Error 1.2",IF(G39&lt;0,"Error 1.3",IF((G39)-INT(G39)&lt;&gt;0,"Warning 2.2","")))))</f>
      </c>
      <c r="AJ39" s="452">
        <f>IF(AND(I39="",$H$1&lt;&gt;"*"),"",IF(AND(I39="",$H$1="*"),"Error 1.1",IF(ISNUMBER(I39)=FALSE,"Error 1.2",IF(I39&lt;0,"Error 1.3",IF((I39)-INT(I39)&lt;&gt;0,"Warning 2.2","")))))</f>
      </c>
      <c r="AL39" s="452">
        <f>IF(AND(K39="",$H$1&lt;&gt;"*"),"",IF(AND(K39="",$H$1="*"),"Error 1.1",IF(ISNUMBER(K39)=FALSE,"Error 1.2",IF(K39&lt;0,"Error 1.3",IF((K39)-INT(K39)&lt;&gt;0,"Warning 2.2","")))))</f>
      </c>
      <c r="AN39" s="452">
        <f>IF(AND(M39="",$H$1&lt;&gt;"*"),"",IF(AND(M39="",$H$1="*"),"Error 1.1",IF(ISNUMBER(M39)=FALSE,"Error 1.2",IF(M39&lt;0,"Error 1.3",IF((M39)-INT(M39)&lt;&gt;0,"Warning 2.2","")))))</f>
      </c>
      <c r="AP39" s="453"/>
      <c r="AR39" s="452">
        <f>IF(AND(Q39="",$H$1&lt;&gt;"*"),"",IF(AND(Q39="",$H$1="*"),"Error 1.1",IF(ISNUMBER(Q39)=FALSE,"Error 1.2",IF(Q39&lt;0,"Error 1.3",IF((Q39)-INT(Q39)&lt;&gt;0,"Warning 2.2","")))))</f>
      </c>
      <c r="AT39" s="452">
        <f>IF(AND(S39="",$H$1&lt;&gt;"*"),"",IF(AND(S39="",$H$1="*"),"Error 1.1",IF(ISNUMBER(S39)=FALSE,"Error 1.2",IF(S39&lt;0,"Error 1.3",IF((S39)-INT(S39)&lt;&gt;0,"Warning 2.2","")))))</f>
      </c>
      <c r="AU39" s="2">
        <f>IF(LEN(TRIM(AH39&amp;AJ39&amp;AL39&amp;AN39&amp;AP39&amp;AR39&amp;AT39))&gt;0,1,0)</f>
        <v>0</v>
      </c>
    </row>
    <row r="40" spans="2:47" ht="12">
      <c r="B40" s="18" t="s">
        <v>97</v>
      </c>
      <c r="C40" s="887" t="s">
        <v>98</v>
      </c>
      <c r="D40" s="887"/>
      <c r="E40" s="887"/>
      <c r="F40" s="19"/>
      <c r="G40" s="12">
        <v>0</v>
      </c>
      <c r="I40" s="12">
        <v>68000</v>
      </c>
      <c r="K40" s="14"/>
      <c r="M40" s="12">
        <v>0</v>
      </c>
      <c r="O40" s="13">
        <f>SUM(G40:M40)</f>
        <v>68000</v>
      </c>
      <c r="Q40" s="12">
        <v>60000</v>
      </c>
      <c r="S40" s="13">
        <f>IF(ISERROR(O40-Q40),0,O40-Q40)</f>
        <v>8000</v>
      </c>
      <c r="AC40" s="8" t="str">
        <f t="shared" si="11"/>
        <v>1.4.3</v>
      </c>
      <c r="AD40" s="883" t="str">
        <f t="shared" si="11"/>
        <v>Milk</v>
      </c>
      <c r="AE40" s="883"/>
      <c r="AF40" s="883"/>
      <c r="AH40" s="452">
        <f>IF(AND(G40="",$H$1&lt;&gt;"*"),"",IF(AND(G40="",$H$1="*"),"Error 1.1",IF(ISNUMBER(G40)=FALSE,"Error 1.2",IF(G40&lt;0,"Error 1.3",IF((G40)-INT(G40)&lt;&gt;0,"Warning 2.2","")))))</f>
      </c>
      <c r="AJ40" s="452">
        <f>IF(AND(I40="",$H$1&lt;&gt;"*"),"",IF(AND(I40="",$H$1="*"),"Error 1.1",IF(ISNUMBER(I40)=FALSE,"Error 1.2",IF(I40&lt;0,"Error 1.3",IF((I40)-INT(I40)&lt;&gt;0,"Warning 2.2","")))))</f>
      </c>
      <c r="AL40" s="14"/>
      <c r="AN40" s="452">
        <f>IF(AND(M40="",$H$1&lt;&gt;"*"),"",IF(AND(M40="",$H$1="*"),"Error 1.1",IF(ISNUMBER(M40)=FALSE,"Error 1.2",IF(M40&lt;0,"Error 1.3",IF((M40)-INT(M40)&lt;&gt;0,"Warning 2.2","")))))</f>
      </c>
      <c r="AP40" s="453"/>
      <c r="AR40" s="452">
        <f>IF(AND(Q40="",$H$1&lt;&gt;"*"),"",IF(AND(Q40="",$H$1="*"),"Error 1.1",IF(ISNUMBER(Q40)=FALSE,"Error 1.2",IF(Q40&lt;0,"Error 1.3",IF((Q40)-INT(Q40)&lt;&gt;0,"Warning 2.2","")))))</f>
      </c>
      <c r="AT40" s="452">
        <f>IF(AND(S40="",$H$1&lt;&gt;"*"),"",IF(AND(S40="",$H$1="*"),"Error 1.1",IF(ISNUMBER(S40)=FALSE,"Error 1.2",IF(S40&lt;0,"Error 1.3",IF((S40)-INT(S40)&lt;&gt;0,"Warning 2.2","")))))</f>
      </c>
      <c r="AU40" s="2">
        <f>IF(LEN(TRIM(AH40&amp;AJ40&amp;AL40&amp;AN40&amp;AP40&amp;AR40&amp;AT40))&gt;0,1,0)</f>
        <v>0</v>
      </c>
    </row>
    <row r="41" spans="2:47" ht="12">
      <c r="B41" s="18" t="s">
        <v>99</v>
      </c>
      <c r="C41" s="887" t="s">
        <v>100</v>
      </c>
      <c r="D41" s="887"/>
      <c r="E41" s="887"/>
      <c r="F41" s="19"/>
      <c r="G41" s="12">
        <v>0</v>
      </c>
      <c r="I41" s="12">
        <v>0</v>
      </c>
      <c r="K41" s="14"/>
      <c r="M41" s="12">
        <v>0</v>
      </c>
      <c r="O41" s="13">
        <f>SUM(G41:M41)</f>
        <v>0</v>
      </c>
      <c r="Q41" s="12">
        <v>0</v>
      </c>
      <c r="S41" s="13">
        <f>IF(ISERROR(O41-Q41),0,O41-Q41)</f>
        <v>0</v>
      </c>
      <c r="AC41" s="8" t="str">
        <f t="shared" si="11"/>
        <v>1.4.4</v>
      </c>
      <c r="AD41" s="883" t="str">
        <f t="shared" si="11"/>
        <v>School Kitchens  -  repair and maintenance</v>
      </c>
      <c r="AE41" s="883"/>
      <c r="AF41" s="883"/>
      <c r="AH41" s="452">
        <f>IF(AND(G41="",$H$1&lt;&gt;"*"),"",IF(AND(G41="",$H$1="*"),"Error 1.1",IF(ISNUMBER(G41)=FALSE,"Error 1.2",IF(G41&lt;0,"Error 1.3",IF((G41)-INT(G41)&lt;&gt;0,"Warning 2.2","")))))</f>
      </c>
      <c r="AJ41" s="452">
        <f>IF(AND(I41="",$H$1&lt;&gt;"*"),"",IF(AND(I41="",$H$1="*"),"Error 1.1",IF(ISNUMBER(I41)=FALSE,"Error 1.2",IF(I41&lt;0,"Error 1.3",IF((I41)-INT(I41)&lt;&gt;0,"Warning 2.2","")))))</f>
      </c>
      <c r="AL41" s="14"/>
      <c r="AN41" s="452">
        <f>IF(AND(M41="",$H$1&lt;&gt;"*"),"",IF(AND(M41="",$H$1="*"),"Error 1.1",IF(ISNUMBER(M41)=FALSE,"Error 1.2",IF(M41&lt;0,"Error 1.3",IF((M41)-INT(M41)&lt;&gt;0,"Warning 2.2","")))))</f>
      </c>
      <c r="AP41" s="453"/>
      <c r="AR41" s="452">
        <f>IF(AND(Q41="",$H$1&lt;&gt;"*"),"",IF(AND(Q41="",$H$1="*"),"Error 1.1",IF(ISNUMBER(Q41)=FALSE,"Error 1.2",IF(Q41&lt;0,"Error 1.3",IF((Q41)-INT(Q41)&lt;&gt;0,"Warning 2.2","")))))</f>
      </c>
      <c r="AT41" s="452">
        <f>IF(AND(S41="",$H$1&lt;&gt;"*"),"",IF(AND(S41="",$H$1="*"),"Error 1.1",IF(ISNUMBER(S41)=FALSE,"Error 1.2",IF(S41&lt;0,"Error 1.3",IF((S41)-INT(S41)&lt;&gt;0,"Warning 2.2","")))))</f>
      </c>
      <c r="AU41" s="2">
        <f>IF(LEN(TRIM(AH41&amp;AJ41&amp;AL41&amp;AN41&amp;AP41&amp;AR41&amp;AT41))&gt;0,1,0)</f>
        <v>0</v>
      </c>
    </row>
    <row r="42" spans="2:42" ht="12">
      <c r="B42" s="9"/>
      <c r="C42" s="9"/>
      <c r="D42" s="9"/>
      <c r="E42" s="9"/>
      <c r="F42" s="11"/>
      <c r="G42" s="11"/>
      <c r="AP42" s="5"/>
    </row>
    <row r="43" spans="2:47" ht="12">
      <c r="B43" s="18" t="s">
        <v>101</v>
      </c>
      <c r="C43" s="887" t="s">
        <v>102</v>
      </c>
      <c r="D43" s="887"/>
      <c r="E43" s="887"/>
      <c r="F43" s="11"/>
      <c r="G43" s="12">
        <v>0</v>
      </c>
      <c r="I43" s="12">
        <v>271526</v>
      </c>
      <c r="K43" s="12">
        <v>293844</v>
      </c>
      <c r="M43" s="12">
        <v>24400</v>
      </c>
      <c r="O43" s="13">
        <f>SUM(G43:M43)</f>
        <v>589770</v>
      </c>
      <c r="Q43" s="12">
        <v>0</v>
      </c>
      <c r="S43" s="13">
        <f>IF(ISERROR(O43-Q43),0,O43-Q43)</f>
        <v>589770</v>
      </c>
      <c r="AC43" s="8" t="str">
        <f aca="true" t="shared" si="12" ref="AC43:AD51">B43</f>
        <v>1.5.1</v>
      </c>
      <c r="AD43" s="883" t="str">
        <f t="shared" si="12"/>
        <v>Insurance</v>
      </c>
      <c r="AE43" s="883"/>
      <c r="AF43" s="883"/>
      <c r="AH43" s="452">
        <f>IF(AND(G43="",$H$1&lt;&gt;"*"),"",IF(AND(G43="",$H$1="*"),"Error 1.1",IF(ISNUMBER(G43)=FALSE,"Error 1.2",IF(G43&lt;0,"Error 1.3",IF((G43)-INT(G43)&lt;&gt;0,"Warning 2.2","")))))</f>
      </c>
      <c r="AJ43" s="452">
        <f>IF(AND(I43="",$H$1&lt;&gt;"*"),"",IF(AND(I43="",$H$1="*"),"Error 1.1",IF(ISNUMBER(I43)=FALSE,"Error 1.2",IF(I43&lt;0,"Error 1.3",IF((I43)-INT(I43)&lt;&gt;0,"Warning 2.2","")))))</f>
      </c>
      <c r="AL43" s="452">
        <f>IF(AND(K43="",$H$1&lt;&gt;"*"),"",IF(AND(K43="",$H$1="*"),"Error 1.1",IF(ISNUMBER(K43)=FALSE,"Error 1.2",IF(K43&lt;0,"Error 1.3",IF((K43)-INT(K43)&lt;&gt;0,"Warning 2.2","")))))</f>
      </c>
      <c r="AN43" s="452">
        <f>IF(AND(M43="",$H$1&lt;&gt;"*"),"",IF(AND(M43="",$H$1="*"),"Error 1.1",IF(ISNUMBER(M43)=FALSE,"Error 1.2",IF(M43&lt;0,"Error 1.3",IF((M43)-INT(M43)&lt;&gt;0,"Warning 2.2","")))))</f>
      </c>
      <c r="AP43" s="453"/>
      <c r="AR43" s="452">
        <f aca="true" t="shared" si="13" ref="AR43:AR51">IF(AND(Q43="",$H$1&lt;&gt;"*"),"",IF(AND(Q43="",$H$1="*"),"Error 1.1",IF(ISNUMBER(Q43)=FALSE,"Error 1.2",IF(Q43&lt;0,"Error 1.3",IF((Q43)-INT(Q43)&lt;&gt;0,"Warning 2.2","")))))</f>
      </c>
      <c r="AT43" s="452">
        <f>IF(AND(S43="",$H$1&lt;&gt;"*"),"",IF(AND(S43="",$H$1="*"),"Error 1.1",IF(ISNUMBER(S43)=FALSE,"Error 1.2",IF(S43&lt;0,"Error 1.3",IF((S43)-INT(S43)&lt;&gt;0,"Warning 2.2","")))))</f>
      </c>
      <c r="AU43" s="2">
        <f aca="true" t="shared" si="14" ref="AU43:AU51">IF(LEN(TRIM(AH43&amp;AJ43&amp;AL43&amp;AN43&amp;AP43&amp;AR43&amp;AT43))&gt;0,1,0)</f>
        <v>0</v>
      </c>
    </row>
    <row r="44" spans="2:47" ht="12">
      <c r="B44" s="18" t="s">
        <v>103</v>
      </c>
      <c r="C44" s="887" t="s">
        <v>104</v>
      </c>
      <c r="D44" s="887"/>
      <c r="E44" s="887"/>
      <c r="F44" s="11"/>
      <c r="G44" s="12">
        <v>0</v>
      </c>
      <c r="I44" s="12">
        <v>0</v>
      </c>
      <c r="K44" s="12">
        <v>0</v>
      </c>
      <c r="M44" s="12">
        <v>0</v>
      </c>
      <c r="O44" s="13">
        <f>SUM(G44:M44)</f>
        <v>0</v>
      </c>
      <c r="Q44" s="12">
        <v>0</v>
      </c>
      <c r="S44" s="13">
        <f>IF(ISERROR(O44-Q44),0,O44-Q44)</f>
        <v>0</v>
      </c>
      <c r="AC44" s="8" t="str">
        <f t="shared" si="12"/>
        <v>1.5.2</v>
      </c>
      <c r="AD44" s="883" t="str">
        <f t="shared" si="12"/>
        <v>Museum Services</v>
      </c>
      <c r="AE44" s="883"/>
      <c r="AF44" s="883"/>
      <c r="AH44" s="452">
        <f>IF(AND(G44="",$H$1&lt;&gt;"*"),"",IF(AND(G44="",$H$1="*"),"Error 1.1",IF(ISNUMBER(G44)=FALSE,"Error 1.2",IF(G44&lt;0,"Error 1.3",IF((G44)-INT(G44)&lt;&gt;0,"Warning 2.2","")))))</f>
      </c>
      <c r="AJ44" s="452">
        <f>IF(AND(I44="",$H$1&lt;&gt;"*"),"",IF(AND(I44="",$H$1="*"),"Error 1.1",IF(ISNUMBER(I44)=FALSE,"Error 1.2",IF(I44&lt;0,"Error 1.3",IF((I44)-INT(I44)&lt;&gt;0,"Warning 2.2","")))))</f>
      </c>
      <c r="AL44" s="452">
        <f>IF(AND(K44="",$H$1&lt;&gt;"*"),"",IF(AND(K44="",$H$1="*"),"Error 1.1",IF(ISNUMBER(K44)=FALSE,"Error 1.2",IF(K44&lt;0,"Error 1.3",IF((K44)-INT(K44)&lt;&gt;0,"Warning 2.2","")))))</f>
      </c>
      <c r="AN44" s="452">
        <f>IF(AND(M44="",$H$1&lt;&gt;"*"),"",IF(AND(M44="",$H$1="*"),"Error 1.1",IF(ISNUMBER(M44)=FALSE,"Error 1.2",IF(M44&lt;0,"Error 1.3",IF((M44)-INT(M44)&lt;&gt;0,"Warning 2.2","")))))</f>
      </c>
      <c r="AP44" s="453"/>
      <c r="AR44" s="452">
        <f t="shared" si="13"/>
      </c>
      <c r="AT44" s="452">
        <f>IF(AND(S44="",$H$1&lt;&gt;"*"),"",IF(AND(S44="",$H$1="*"),"Error 1.1",IF(ISNUMBER(S44)=FALSE,"Error 1.2",IF(S44&lt;0,"Error 1.3",IF((S44)-INT(S44)&lt;&gt;0,"Warning 2.2","")))))</f>
      </c>
      <c r="AU44" s="2">
        <f t="shared" si="14"/>
        <v>0</v>
      </c>
    </row>
    <row r="45" spans="2:47" ht="12">
      <c r="B45" s="18" t="s">
        <v>105</v>
      </c>
      <c r="C45" s="887" t="s">
        <v>106</v>
      </c>
      <c r="D45" s="887"/>
      <c r="E45" s="887"/>
      <c r="F45" s="11"/>
      <c r="G45" s="12">
        <v>0</v>
      </c>
      <c r="I45" s="12">
        <v>0</v>
      </c>
      <c r="K45" s="14"/>
      <c r="M45" s="12">
        <v>0</v>
      </c>
      <c r="O45" s="13">
        <f>SUM(G45:M45)</f>
        <v>0</v>
      </c>
      <c r="Q45" s="12">
        <v>0</v>
      </c>
      <c r="S45" s="13">
        <f>IF(ISERROR(O45-Q45),0,O45-Q45)</f>
        <v>0</v>
      </c>
      <c r="AC45" s="8" t="str">
        <f t="shared" si="12"/>
        <v>1.5.3</v>
      </c>
      <c r="AD45" s="883" t="str">
        <f t="shared" si="12"/>
        <v>Library Services - nursery, primary and special schools</v>
      </c>
      <c r="AE45" s="883"/>
      <c r="AF45" s="883"/>
      <c r="AH45" s="452">
        <f>IF(AND(G45="",$H$1&lt;&gt;"*"),"",IF(AND(G45="",$H$1="*"),"Error 1.1",IF(ISNUMBER(G45)=FALSE,"Error 1.2",IF(G45&lt;0,"Error 1.3",IF((G45)-INT(G45)&lt;&gt;0,"Warning 2.2","")))))</f>
      </c>
      <c r="AJ45" s="452">
        <f>IF(AND(I45="",$H$1&lt;&gt;"*"),"",IF(AND(I45="",$H$1="*"),"Error 1.1",IF(ISNUMBER(I45)=FALSE,"Error 1.2",IF(I45&lt;0,"Error 1.3",IF((I45)-INT(I45)&lt;&gt;0,"Warning 2.2","")))))</f>
      </c>
      <c r="AL45" s="14"/>
      <c r="AN45" s="452">
        <f>IF(AND(M45="",$H$1&lt;&gt;"*"),"",IF(AND(M45="",$H$1="*"),"Error 1.1",IF(ISNUMBER(M45)=FALSE,"Error 1.2",IF(M45&lt;0,"Error 1.3",IF((M45)-INT(M45)&lt;&gt;0,"Warning 2.2","")))))</f>
      </c>
      <c r="AP45" s="453"/>
      <c r="AR45" s="452">
        <f t="shared" si="13"/>
      </c>
      <c r="AT45" s="452">
        <f>IF(AND(S45="",$H$1&lt;&gt;"*"),"",IF(AND(S45="",$H$1="*"),"Error 1.1",IF(ISNUMBER(S45)=FALSE,"Error 1.2",IF(S45&lt;0,"Error 1.3",IF((S45)-INT(S45)&lt;&gt;0,"Warning 2.2","")))))</f>
      </c>
      <c r="AU45" s="2">
        <f t="shared" si="14"/>
        <v>0</v>
      </c>
    </row>
    <row r="46" spans="2:47" ht="12">
      <c r="B46" s="18" t="s">
        <v>107</v>
      </c>
      <c r="C46" s="887" t="s">
        <v>108</v>
      </c>
      <c r="D46" s="887"/>
      <c r="E46" s="887"/>
      <c r="F46" s="11"/>
      <c r="G46" s="12">
        <v>0</v>
      </c>
      <c r="I46" s="12">
        <v>110047</v>
      </c>
      <c r="K46" s="12">
        <v>86369</v>
      </c>
      <c r="M46" s="12">
        <v>2315</v>
      </c>
      <c r="O46" s="13">
        <f aca="true" t="shared" si="15" ref="O46:O51">SUM(G46:M46)</f>
        <v>198731</v>
      </c>
      <c r="Q46" s="12">
        <v>0</v>
      </c>
      <c r="S46" s="13">
        <f aca="true" t="shared" si="16" ref="S46:S51">IF(ISERROR(O46-Q46),0,O46-Q46)</f>
        <v>198731</v>
      </c>
      <c r="AC46" s="8" t="str">
        <f t="shared" si="12"/>
        <v>1.5.4</v>
      </c>
      <c r="AD46" s="883" t="str">
        <f t="shared" si="12"/>
        <v>School admissions</v>
      </c>
      <c r="AE46" s="883"/>
      <c r="AF46" s="883"/>
      <c r="AH46" s="452">
        <f aca="true" t="shared" si="17" ref="AH46:AH51">IF(AND(G46="",$H$1&lt;&gt;"*"),"",IF(AND(G46="",$H$1="*"),"Error 1.1",IF(ISNUMBER(G46)=FALSE,"Error 1.2",IF(G46&lt;0,"Error 1.3",IF((G46)-INT(G46)&lt;&gt;0,"Warning 2.2","")))))</f>
      </c>
      <c r="AJ46" s="452">
        <f aca="true" t="shared" si="18" ref="AJ46:AJ51">IF(AND(I46="",$H$1&lt;&gt;"*"),"",IF(AND(I46="",$H$1="*"),"Error 1.1",IF(ISNUMBER(I46)=FALSE,"Error 1.2",IF(I46&lt;0,"Error 1.3",IF((I46)-INT(I46)&lt;&gt;0,"Warning 2.2","")))))</f>
      </c>
      <c r="AL46" s="452">
        <f aca="true" t="shared" si="19" ref="AL46:AL51">IF(AND(K46="",$H$1&lt;&gt;"*"),"",IF(AND(K46="",$H$1="*"),"Error 1.1",IF(ISNUMBER(K46)=FALSE,"Error 1.2",IF(K46&lt;0,"Error 1.3",IF((K46)-INT(K46)&lt;&gt;0,"Warning 2.2","")))))</f>
      </c>
      <c r="AN46" s="452">
        <f aca="true" t="shared" si="20" ref="AN46:AN51">IF(AND(M46="",$H$1&lt;&gt;"*"),"",IF(AND(M46="",$H$1="*"),"Error 1.1",IF(ISNUMBER(M46)=FALSE,"Error 1.2",IF(M46&lt;0,"Error 1.3",IF((M46)-INT(M46)&lt;&gt;0,"Warning 2.2","")))))</f>
      </c>
      <c r="AP46" s="453"/>
      <c r="AR46" s="452">
        <f t="shared" si="13"/>
      </c>
      <c r="AT46" s="452">
        <f>IF(AND(S46="",$H$1&lt;&gt;"*"),"",IF(AND(S46="",$H$1="*"),"Error 1.1",IF(ISNUMBER(S46)=FALSE,"Error 1.2",IF(S46&lt;0,"Error 1.3",IF((S46)-INT(S46)&lt;&gt;0,"Warning 2.2","")))))</f>
      </c>
      <c r="AU46" s="2">
        <f t="shared" si="14"/>
        <v>0</v>
      </c>
    </row>
    <row r="47" spans="2:47" ht="12">
      <c r="B47" s="18" t="s">
        <v>109</v>
      </c>
      <c r="C47" s="887" t="s">
        <v>110</v>
      </c>
      <c r="D47" s="887"/>
      <c r="E47" s="887"/>
      <c r="F47" s="11"/>
      <c r="G47" s="12">
        <v>0</v>
      </c>
      <c r="I47" s="12">
        <v>45868</v>
      </c>
      <c r="K47" s="12">
        <v>35999</v>
      </c>
      <c r="M47" s="12">
        <v>965</v>
      </c>
      <c r="O47" s="13">
        <f t="shared" si="15"/>
        <v>82832</v>
      </c>
      <c r="Q47" s="12">
        <v>0</v>
      </c>
      <c r="S47" s="13">
        <f t="shared" si="16"/>
        <v>82832</v>
      </c>
      <c r="AC47" s="8" t="str">
        <f t="shared" si="12"/>
        <v>1.5.5</v>
      </c>
      <c r="AD47" s="883" t="str">
        <f t="shared" si="12"/>
        <v>Licences/subscriptions </v>
      </c>
      <c r="AE47" s="883"/>
      <c r="AF47" s="883"/>
      <c r="AH47" s="452">
        <f t="shared" si="17"/>
      </c>
      <c r="AJ47" s="452">
        <f t="shared" si="18"/>
      </c>
      <c r="AL47" s="452">
        <f t="shared" si="19"/>
      </c>
      <c r="AN47" s="452">
        <f t="shared" si="20"/>
      </c>
      <c r="AP47" s="453"/>
      <c r="AR47" s="452">
        <f t="shared" si="13"/>
      </c>
      <c r="AT47" s="452">
        <f>IF(AND(S47="",$H$1&lt;&gt;"*"),"",IF(AND(S47="",$H$1="*"),"Error 1.1",IF(ISNUMBER(S47)=FALSE,"Error 1.2",IF(S47&lt;0,"Error 1.3",IF((S47)-INT(S47)&lt;&gt;0,"Warning 2.2","")))))</f>
      </c>
      <c r="AU47" s="2">
        <f t="shared" si="14"/>
        <v>0</v>
      </c>
    </row>
    <row r="48" spans="2:47" ht="12">
      <c r="B48" s="18" t="s">
        <v>111</v>
      </c>
      <c r="C48" s="887" t="s">
        <v>112</v>
      </c>
      <c r="D48" s="887"/>
      <c r="E48" s="887"/>
      <c r="F48" s="11"/>
      <c r="G48" s="12">
        <v>0</v>
      </c>
      <c r="I48" s="12">
        <v>19381</v>
      </c>
      <c r="K48" s="12">
        <v>15211</v>
      </c>
      <c r="M48" s="12">
        <v>408</v>
      </c>
      <c r="O48" s="13">
        <f t="shared" si="15"/>
        <v>35000</v>
      </c>
      <c r="Q48" s="12">
        <v>0</v>
      </c>
      <c r="S48" s="13">
        <f t="shared" si="16"/>
        <v>35000</v>
      </c>
      <c r="AC48" s="8" t="str">
        <f t="shared" si="12"/>
        <v>1.5.6</v>
      </c>
      <c r="AD48" s="883" t="str">
        <f t="shared" si="12"/>
        <v>Miscellaneous (not more than 0.1% total net SB)</v>
      </c>
      <c r="AE48" s="883"/>
      <c r="AF48" s="883"/>
      <c r="AH48" s="452">
        <f t="shared" si="17"/>
      </c>
      <c r="AJ48" s="452">
        <f t="shared" si="18"/>
      </c>
      <c r="AL48" s="452">
        <f t="shared" si="19"/>
      </c>
      <c r="AN48" s="452">
        <f t="shared" si="20"/>
      </c>
      <c r="AP48" s="453"/>
      <c r="AR48" s="452">
        <f t="shared" si="13"/>
      </c>
      <c r="AT48" s="452">
        <f>IF(AND(S48="",$H$1&lt;&gt;"*"),"",IF(AND(S48="",$H$1="*"),"Error 1.1",IF(ISNUMBER(S48)=FALSE,"Error 1.2",IF(S48&lt;0,"Error 1.3",IF(S48&gt;(S63*0.1%),"Warning 2.1",IF((S48)-INT(S48)&lt;&gt;0,"Warning 2.2",""))))))</f>
      </c>
      <c r="AU48" s="2">
        <f t="shared" si="14"/>
        <v>0</v>
      </c>
    </row>
    <row r="49" spans="2:47" ht="12">
      <c r="B49" s="18" t="s">
        <v>113</v>
      </c>
      <c r="C49" s="887" t="s">
        <v>114</v>
      </c>
      <c r="D49" s="887"/>
      <c r="E49" s="887"/>
      <c r="F49" s="11"/>
      <c r="G49" s="12">
        <v>0</v>
      </c>
      <c r="I49" s="12">
        <v>35700</v>
      </c>
      <c r="K49" s="12">
        <v>28019</v>
      </c>
      <c r="M49" s="12">
        <v>751</v>
      </c>
      <c r="O49" s="13">
        <f t="shared" si="15"/>
        <v>64470</v>
      </c>
      <c r="Q49" s="12">
        <v>0</v>
      </c>
      <c r="S49" s="13">
        <f t="shared" si="16"/>
        <v>64470</v>
      </c>
      <c r="AC49" s="8" t="str">
        <f t="shared" si="12"/>
        <v>1.5.7</v>
      </c>
      <c r="AD49" s="883" t="str">
        <f t="shared" si="12"/>
        <v>Servicing of schools forums</v>
      </c>
      <c r="AE49" s="883"/>
      <c r="AF49" s="883"/>
      <c r="AH49" s="452">
        <f t="shared" si="17"/>
      </c>
      <c r="AJ49" s="452">
        <f t="shared" si="18"/>
      </c>
      <c r="AL49" s="452">
        <f t="shared" si="19"/>
      </c>
      <c r="AN49" s="452">
        <f t="shared" si="20"/>
      </c>
      <c r="AP49" s="453"/>
      <c r="AR49" s="452">
        <f t="shared" si="13"/>
      </c>
      <c r="AT49" s="452">
        <f>IF(AND(S49="",$H$1&lt;&gt;"*"),"",IF(AND(S49="",$H$1="*"),"Error 1.1",IF(ISNUMBER(S49)=FALSE,"Error 1.2",IF(S49&lt;0,"Error 1.3",IF((S49)-INT(S49)&lt;&gt;0,"Warning 2.2","")))))</f>
      </c>
      <c r="AU49" s="2">
        <f t="shared" si="14"/>
        <v>0</v>
      </c>
    </row>
    <row r="50" spans="2:47" ht="12">
      <c r="B50" s="18" t="s">
        <v>115</v>
      </c>
      <c r="C50" s="887" t="s">
        <v>116</v>
      </c>
      <c r="D50" s="887"/>
      <c r="E50" s="887"/>
      <c r="F50" s="11"/>
      <c r="G50" s="12">
        <v>0</v>
      </c>
      <c r="I50" s="12">
        <v>73372</v>
      </c>
      <c r="K50" s="12">
        <v>57584</v>
      </c>
      <c r="M50" s="12">
        <v>1544</v>
      </c>
      <c r="O50" s="13">
        <f t="shared" si="15"/>
        <v>132500</v>
      </c>
      <c r="Q50" s="12">
        <v>0</v>
      </c>
      <c r="S50" s="13">
        <f t="shared" si="16"/>
        <v>132500</v>
      </c>
      <c r="AC50" s="8" t="str">
        <f t="shared" si="12"/>
        <v>1.5.8</v>
      </c>
      <c r="AD50" s="883" t="str">
        <f t="shared" si="12"/>
        <v>Staff costs - supply cover (not sickness)</v>
      </c>
      <c r="AE50" s="883"/>
      <c r="AF50" s="883"/>
      <c r="AH50" s="452">
        <f t="shared" si="17"/>
      </c>
      <c r="AJ50" s="452">
        <f t="shared" si="18"/>
      </c>
      <c r="AL50" s="452">
        <f t="shared" si="19"/>
      </c>
      <c r="AN50" s="452">
        <f t="shared" si="20"/>
      </c>
      <c r="AP50" s="453"/>
      <c r="AR50" s="452">
        <f t="shared" si="13"/>
      </c>
      <c r="AT50" s="452">
        <f>IF(AND(S50="",$H$1&lt;&gt;"*"),"",IF(AND(S50="",$H$1="*"),"Error 1.1",IF(ISNUMBER(S50)=FALSE,"Error 1.2",IF(S50&lt;0,"Error 1.3",IF((S50)-INT(S50)&lt;&gt;0,"Warning 2.2","")))))</f>
      </c>
      <c r="AU50" s="2">
        <f t="shared" si="14"/>
        <v>0</v>
      </c>
    </row>
    <row r="51" spans="2:47" ht="12">
      <c r="B51" s="18" t="s">
        <v>117</v>
      </c>
      <c r="C51" s="887" t="s">
        <v>118</v>
      </c>
      <c r="D51" s="887"/>
      <c r="E51" s="887"/>
      <c r="F51" s="11"/>
      <c r="G51" s="12">
        <v>0</v>
      </c>
      <c r="I51" s="12">
        <v>0</v>
      </c>
      <c r="K51" s="12">
        <v>0</v>
      </c>
      <c r="M51" s="12">
        <v>0</v>
      </c>
      <c r="O51" s="13">
        <f t="shared" si="15"/>
        <v>0</v>
      </c>
      <c r="Q51" s="12">
        <v>0</v>
      </c>
      <c r="S51" s="13">
        <f t="shared" si="16"/>
        <v>0</v>
      </c>
      <c r="AC51" s="8" t="str">
        <f t="shared" si="12"/>
        <v>1.5.9</v>
      </c>
      <c r="AD51" s="883" t="str">
        <f t="shared" si="12"/>
        <v>Supply cover - long term sickness</v>
      </c>
      <c r="AE51" s="883"/>
      <c r="AF51" s="883"/>
      <c r="AH51" s="452">
        <f t="shared" si="17"/>
      </c>
      <c r="AJ51" s="452">
        <f t="shared" si="18"/>
      </c>
      <c r="AL51" s="452">
        <f t="shared" si="19"/>
      </c>
      <c r="AN51" s="452">
        <f t="shared" si="20"/>
      </c>
      <c r="AP51" s="453"/>
      <c r="AR51" s="452">
        <f t="shared" si="13"/>
      </c>
      <c r="AT51" s="452">
        <f>IF(AND(S51="",$H$1&lt;&gt;"*"),"",IF(AND(S51="",$H$1="*"),"Error 1.1",IF(ISNUMBER(S51)=FALSE,"Error 1.2",IF(S51&lt;0,"Error 1.3",IF((S51)-INT(S51)&lt;&gt;0,"Warning 2.2","")))))</f>
      </c>
      <c r="AU51" s="2">
        <f t="shared" si="14"/>
        <v>0</v>
      </c>
    </row>
    <row r="52" spans="2:47" ht="12">
      <c r="B52" s="18" t="s">
        <v>119</v>
      </c>
      <c r="C52" s="887" t="s">
        <v>120</v>
      </c>
      <c r="D52" s="887"/>
      <c r="E52" s="887"/>
      <c r="F52" s="11"/>
      <c r="G52" s="12">
        <v>0</v>
      </c>
      <c r="I52" s="12">
        <v>0</v>
      </c>
      <c r="K52" s="12">
        <v>0</v>
      </c>
      <c r="M52" s="12">
        <v>0</v>
      </c>
      <c r="O52" s="13">
        <f>SUM(G52:M52)</f>
        <v>0</v>
      </c>
      <c r="Q52" s="12">
        <v>0</v>
      </c>
      <c r="S52" s="13">
        <f>IF(ISERROR(O52-Q52),0,O52-Q52)</f>
        <v>0</v>
      </c>
      <c r="AC52" s="8" t="str">
        <f>B52</f>
        <v>1.5.10</v>
      </c>
      <c r="AD52" s="883" t="str">
        <f>C52</f>
        <v>Termination of Employment Costs</v>
      </c>
      <c r="AE52" s="883"/>
      <c r="AF52" s="883"/>
      <c r="AH52" s="452">
        <f>IF(AND(G52="",$H$1&lt;&gt;"*"),"",IF(AND(G52="",$H$1="*"),"Error 1.1",IF(ISNUMBER(G52)=FALSE,"Error 1.2",IF(G52&lt;0,"Error 1.3",IF((G52)-INT(G52)&lt;&gt;0,"Warning 2.2","")))))</f>
      </c>
      <c r="AJ52" s="452">
        <f>IF(AND(I52="",$H$1&lt;&gt;"*"),"",IF(AND(I52="",$H$1="*"),"Error 1.1",IF(ISNUMBER(I52)=FALSE,"Error 1.2",IF(I52&lt;0,"Error 1.3",IF((I52)-INT(I52)&lt;&gt;0,"Warning 2.2","")))))</f>
      </c>
      <c r="AL52" s="452">
        <f>IF(AND(K52="",$H$1&lt;&gt;"*"),"",IF(AND(K52="",$H$1="*"),"Error 1.1",IF(ISNUMBER(K52)=FALSE,"Error 1.2",IF(K52&lt;0,"Error 1.3",IF((K52)-INT(K52)&lt;&gt;0,"Warning 2.2","")))))</f>
      </c>
      <c r="AN52" s="452">
        <f>IF(AND(M52="",$H$1&lt;&gt;"*"),"",IF(AND(M52="",$H$1="*"),"Error 1.1",IF(ISNUMBER(M52)=FALSE,"Error 1.2",IF(M52&lt;0,"Error 1.3",IF((M52)-INT(M52)&lt;&gt;0,"Warning 2.2","")))))</f>
      </c>
      <c r="AP52" s="453"/>
      <c r="AR52" s="452">
        <f>IF(AND(Q52="",$H$1&lt;&gt;"*"),"",IF(AND(Q52="",$H$1="*"),"Error 1.1",IF(ISNUMBER(Q52)=FALSE,"Error 1.2",IF(Q52&lt;0,"Error 1.3",IF((Q52)-INT(Q52)&lt;&gt;0,"Warning 2.2","")))))</f>
      </c>
      <c r="AT52" s="452">
        <f>IF(AND(S52="",$H$1&lt;&gt;"*"),"",IF(AND(S52="",$H$1="*"),"Error 1.1",IF(ISNUMBER(S52)=FALSE,"Error 1.2",IF(S52&lt;0,"Error 1.3",IF((S52)-INT(S52)&lt;&gt;0,"Warning 2.2","")))))</f>
      </c>
      <c r="AU52" s="2">
        <f>IF(LEN(TRIM(AH52&amp;AJ52&amp;AL52&amp;AN52&amp;AP52&amp;AR52&amp;AT52))&gt;0,1,0)</f>
        <v>0</v>
      </c>
    </row>
    <row r="53" spans="2:7" ht="12">
      <c r="B53" s="29"/>
      <c r="C53" s="29"/>
      <c r="D53" s="29"/>
      <c r="E53" s="29"/>
      <c r="F53" s="11"/>
      <c r="G53" s="11"/>
    </row>
    <row r="54" spans="2:47" ht="12">
      <c r="B54" s="18" t="s">
        <v>121</v>
      </c>
      <c r="C54" s="887" t="s">
        <v>122</v>
      </c>
      <c r="D54" s="887"/>
      <c r="E54" s="887"/>
      <c r="F54" s="19"/>
      <c r="G54" s="12">
        <v>0</v>
      </c>
      <c r="I54" s="12">
        <v>648447</v>
      </c>
      <c r="K54" s="12">
        <v>608808</v>
      </c>
      <c r="M54" s="12">
        <v>39365</v>
      </c>
      <c r="O54" s="13">
        <f>SUM(G54:M54)</f>
        <v>1296620</v>
      </c>
      <c r="Q54" s="12">
        <f>+O54</f>
        <v>1296620</v>
      </c>
      <c r="S54" s="13">
        <f>IF(ISERROR(O54-Q54),0,O54-Q54)</f>
        <v>0</v>
      </c>
      <c r="AC54" s="8" t="str">
        <f aca="true" t="shared" si="21" ref="AC54:AD58">B54</f>
        <v>1.6.1</v>
      </c>
      <c r="AD54" s="883" t="str">
        <f t="shared" si="21"/>
        <v>School Development Grant - Non-Devolved</v>
      </c>
      <c r="AE54" s="883"/>
      <c r="AF54" s="883"/>
      <c r="AH54" s="452">
        <f>IF(AND(G54="",$H$1&lt;&gt;"*"),"",IF(AND(G54="",$H$1="*"),"Error 1.1",IF(ISNUMBER(G54)=FALSE,"Error 1.2",IF(G54&lt;0,"Error 1.3",IF((G54)-INT(G54)&lt;&gt;0,"Warning 2.2","")))))</f>
      </c>
      <c r="AJ54" s="452">
        <f>IF(AND(I54="",$H$1&lt;&gt;"*"),"",IF(AND(I54="",$H$1="*"),"Error 1.1",IF(ISNUMBER(I54)=FALSE,"Error 1.2",IF(I54&lt;0,"Error 1.3",IF((I54)-INT(I54)&lt;&gt;0,"Warning 2.2","")))))</f>
      </c>
      <c r="AL54" s="452">
        <f>IF(AND(K54="",$H$1&lt;&gt;"*"),"",IF(AND(K54="",$H$1="*"),"Error 1.1",IF(ISNUMBER(K54)=FALSE,"Error 1.2",IF(K54&lt;0,"Error 1.3",IF((K54)-INT(K54)&lt;&gt;0,"Warning 2.2","")))))</f>
      </c>
      <c r="AN54" s="452">
        <f>IF(AND(M54="",$H$1&lt;&gt;"*"),"",IF(AND(M54="",$H$1="*"),"Error 1.1",IF(ISNUMBER(M54)=FALSE,"Error 1.2",IF(M54&lt;0,"Error 1.3",IF((M54)-INT(M54)&lt;&gt;0,"Warning 2.2","")))))</f>
      </c>
      <c r="AP54" s="453"/>
      <c r="AR54" s="452">
        <f>IF(AND(Q54="",$H$1&lt;&gt;"*"),"",IF(AND(Q54="",$H$1="*"),"Error 1.1",IF(ISNUMBER(Q54)=FALSE,"Error 1.2",IF(Q54&lt;0,"Error 1.3",IF((Q54)-INT(Q54)&lt;&gt;0,"Warning 2.2","")))))</f>
      </c>
      <c r="AT54" s="452">
        <f>IF(AND(S54="",$H$1&lt;&gt;"*"),"",IF(AND(S54="",$H$1="*"),"Error 1.1",IF(ISNUMBER(S54)=FALSE,"Error 1.2",IF(S54&lt;&gt;0,"Warning 2.4",""))))</f>
      </c>
      <c r="AU54" s="2">
        <f>IF(LEN(TRIM(AH54&amp;AJ54&amp;AL54&amp;AN54&amp;AP54&amp;AR54&amp;AT54))&gt;0,1,0)</f>
        <v>0</v>
      </c>
    </row>
    <row r="55" spans="2:47" ht="12">
      <c r="B55" s="18" t="s">
        <v>123</v>
      </c>
      <c r="C55" s="887" t="s">
        <v>124</v>
      </c>
      <c r="D55" s="887"/>
      <c r="E55" s="887"/>
      <c r="F55" s="19"/>
      <c r="G55" s="12">
        <v>0</v>
      </c>
      <c r="I55" s="12">
        <v>278627</v>
      </c>
      <c r="K55" s="12">
        <v>218677</v>
      </c>
      <c r="M55" s="12">
        <v>17593</v>
      </c>
      <c r="O55" s="13">
        <f>SUM(G55:M55)</f>
        <v>514897</v>
      </c>
      <c r="Q55" s="12">
        <f>+O55</f>
        <v>514897</v>
      </c>
      <c r="S55" s="13">
        <f>IF(ISERROR(O55-Q55),0,O55-Q55)</f>
        <v>0</v>
      </c>
      <c r="AC55" s="8" t="str">
        <f t="shared" si="21"/>
        <v>1.6.2</v>
      </c>
      <c r="AD55" s="883" t="str">
        <f t="shared" si="21"/>
        <v>Other Standards Fund Allocation - Non-Devolved</v>
      </c>
      <c r="AE55" s="883"/>
      <c r="AF55" s="883"/>
      <c r="AH55" s="452">
        <f>IF(AND(G55="",$H$1&lt;&gt;"*"),"",IF(AND(G55="",$H$1="*"),"Error 1.1",IF(ISNUMBER(G55)=FALSE,"Error 1.2",IF(G55&lt;0,"Error 1.3",IF((G55)-INT(G55)&lt;&gt;0,"Warning 2.2","")))))</f>
      </c>
      <c r="AJ55" s="452">
        <f>IF(AND(I55="",$H$1&lt;&gt;"*"),"",IF(AND(I55="",$H$1="*"),"Error 1.1",IF(ISNUMBER(I55)=FALSE,"Error 1.2",IF(I55&lt;0,"Error 1.3",IF((I55)-INT(I55)&lt;&gt;0,"Warning 2.2","")))))</f>
      </c>
      <c r="AL55" s="452">
        <f>IF(AND(K55="",$H$1&lt;&gt;"*"),"",IF(AND(K55="",$H$1="*"),"Error 1.1",IF(ISNUMBER(K55)=FALSE,"Error 1.2",IF(K55&lt;0,"Error 1.3",IF((K55)-INT(K55)&lt;&gt;0,"Warning 2.2","")))))</f>
      </c>
      <c r="AN55" s="452">
        <f>IF(AND(M55="",$H$1&lt;&gt;"*"),"",IF(AND(M55="",$H$1="*"),"Error 1.1",IF(ISNUMBER(M55)=FALSE,"Error 1.2",IF(M55&lt;0,"Error 1.3",IF((M55)-INT(M55)&lt;&gt;0,"Warning 2.2","")))))</f>
      </c>
      <c r="AP55" s="453"/>
      <c r="AR55" s="452">
        <f>IF(AND(Q55="",$H$1&lt;&gt;"*"),"",IF(AND(Q55="",$H$1="*"),"Error 1.1",IF(ISNUMBER(Q55)=FALSE,"Error 1.2",IF(Q55&lt;0,"Error 1.3",IF((Q55)-INT(Q55)&lt;&gt;0,"Warning 2.2","")))))</f>
      </c>
      <c r="AT55" s="452">
        <f>IF(AND(S55="",$H$1&lt;&gt;"*"),"",IF(AND(S55="",$H$1="*"),"Error 1.1",IF(ISNUMBER(S55)=FALSE,"Error 1.2",IF(S55&lt;0,"Error 1.3",IF((S55)-INT(S55)&lt;&gt;0,"Warning 2.2","")))))</f>
      </c>
      <c r="AU55" s="2">
        <f>IF(LEN(TRIM(AH55&amp;AJ55&amp;AL55&amp;AN55&amp;AP55&amp;AR55&amp;AT55))&gt;0,1,0)</f>
        <v>0</v>
      </c>
    </row>
    <row r="56" spans="2:47" ht="12">
      <c r="B56" s="18" t="s">
        <v>125</v>
      </c>
      <c r="C56" s="887" t="s">
        <v>126</v>
      </c>
      <c r="D56" s="887"/>
      <c r="E56" s="887"/>
      <c r="F56" s="19"/>
      <c r="G56" s="12">
        <v>0</v>
      </c>
      <c r="I56" s="12">
        <v>0</v>
      </c>
      <c r="K56" s="12">
        <v>375160</v>
      </c>
      <c r="M56" s="12">
        <v>0</v>
      </c>
      <c r="O56" s="13">
        <f>SUM(G56:M56)</f>
        <v>375160</v>
      </c>
      <c r="Q56" s="12">
        <f>+O56</f>
        <v>375160</v>
      </c>
      <c r="S56" s="13">
        <f>IF(ISERROR(O56-Q56),0,O56-Q56)</f>
        <v>0</v>
      </c>
      <c r="AC56" s="8" t="str">
        <f t="shared" si="21"/>
        <v>1.6.3</v>
      </c>
      <c r="AD56" s="883" t="str">
        <f t="shared" si="21"/>
        <v>Non-Standards Fund specific grant</v>
      </c>
      <c r="AE56" s="883"/>
      <c r="AF56" s="883"/>
      <c r="AH56" s="452">
        <f>IF(AND(G56="",$H$1&lt;&gt;"*"),"",IF(AND(G56="",$H$1="*"),"Error 1.1",IF(ISNUMBER(G56)=FALSE,"Error 1.2",IF(G56&lt;0,"Error 1.3",IF((G56)-INT(G56)&lt;&gt;0,"Warning 2.2","")))))</f>
      </c>
      <c r="AJ56" s="452">
        <f>IF(AND(I56="",$H$1&lt;&gt;"*"),"",IF(AND(I56="",$H$1="*"),"Error 1.1",IF(ISNUMBER(I56)=FALSE,"Error 1.2",IF(I56&lt;0,"Error 1.3",IF((I56)-INT(I56)&lt;&gt;0,"Warning 2.2","")))))</f>
      </c>
      <c r="AL56" s="452">
        <f>IF(AND(K56="",$H$1&lt;&gt;"*"),"",IF(AND(K56="",$H$1="*"),"Error 1.1",IF(ISNUMBER(K56)=FALSE,"Error 1.2",IF(K56&lt;0,"Error 1.3",IF((K56)-INT(K56)&lt;&gt;0,"Warning 2.2","")))))</f>
      </c>
      <c r="AN56" s="452">
        <f>IF(AND(M56="",$H$1&lt;&gt;"*"),"",IF(AND(M56="",$H$1="*"),"Error 1.1",IF(ISNUMBER(M56)=FALSE,"Error 1.2",IF(M56&lt;0,"Error 1.3",IF((M56)-INT(M56)&lt;&gt;0,"Warning 2.2","")))))</f>
      </c>
      <c r="AP56" s="453"/>
      <c r="AR56" s="452">
        <f>IF(AND(Q56="",$H$1&lt;&gt;"*"),"",IF(AND(Q56="",$H$1="*"),"Error 1.1",IF(ISNUMBER(Q56)=FALSE,"Error 1.2",IF(Q56&lt;0,"Error 1.3",IF((Q56)-INT(Q56)&lt;&gt;0,"Warning 2.2","")))))</f>
      </c>
      <c r="AT56" s="452">
        <f>IF(AND(S56="",$H$1&lt;&gt;"*"),"",IF(AND(S56="",$H$1="*"),"Error 1.1",IF(ISNUMBER(S56)=FALSE,"Error 1.2",IF(S56&lt;0,"Error 1.3",IF((S56)-INT(S56)&lt;&gt;0,"Warning 2.2","")))))</f>
      </c>
      <c r="AU56" s="2">
        <f>IF(LEN(TRIM(AH56&amp;AJ56&amp;AL56&amp;AN56&amp;AP56&amp;AR56&amp;AT56))&gt;0,1,0)</f>
        <v>0</v>
      </c>
    </row>
    <row r="57" spans="2:47" ht="12">
      <c r="B57" s="18" t="s">
        <v>127</v>
      </c>
      <c r="C57" s="887" t="s">
        <v>128</v>
      </c>
      <c r="D57" s="887"/>
      <c r="E57" s="887"/>
      <c r="F57" s="19"/>
      <c r="G57" s="12">
        <v>0</v>
      </c>
      <c r="I57" s="12">
        <v>217000</v>
      </c>
      <c r="K57" s="12">
        <v>0</v>
      </c>
      <c r="M57" s="12">
        <v>8000</v>
      </c>
      <c r="O57" s="13">
        <f>SUM(G57:M57)</f>
        <v>225000</v>
      </c>
      <c r="Q57" s="12">
        <f>+O57</f>
        <v>225000</v>
      </c>
      <c r="S57" s="13">
        <f>IF(ISERROR(O57-Q57),0,O57-Q57)</f>
        <v>0</v>
      </c>
      <c r="AC57" s="8" t="str">
        <f>B57</f>
        <v>1.6.4</v>
      </c>
      <c r="AD57" s="883" t="str">
        <f>C57</f>
        <v>Targeted School Meals Grant - Non-Devolved</v>
      </c>
      <c r="AE57" s="883"/>
      <c r="AF57" s="883"/>
      <c r="AH57" s="452">
        <f>IF(AND(G57="",$H$1&lt;&gt;"*"),"",IF(AND(G57="",$H$1="*"),"Error 1.1",IF(ISNUMBER(G57)=FALSE,"Error 1.2",IF(G57&lt;0,"Error 1.3",IF((G57)-INT(G57)&lt;&gt;0,"Warning 2.2","")))))</f>
      </c>
      <c r="AJ57" s="452">
        <f>IF(AND(I57="",$H$1&lt;&gt;"*"),"",IF(AND(I57="",$H$1="*"),"Error 1.1",IF(ISNUMBER(I57)=FALSE,"Error 1.2",IF(I57&lt;0,"Error 1.3",IF((I57)-INT(I57)&lt;&gt;0,"Warning 2.2","")))))</f>
      </c>
      <c r="AL57" s="452">
        <f>IF(AND(K57="",$H$1&lt;&gt;"*"),"",IF(AND(K57="",$H$1="*"),"Error 1.1",IF(ISNUMBER(K57)=FALSE,"Error 1.2",IF(K57&lt;0,"Error 1.3",IF((K57)-INT(K57)&lt;&gt;0,"Warning 2.2","")))))</f>
      </c>
      <c r="AN57" s="452">
        <f>IF(AND(M57="",$H$1&lt;&gt;"*"),"",IF(AND(M57="",$H$1="*"),"Error 1.1",IF(ISNUMBER(M57)=FALSE,"Error 1.2",IF(M57&lt;0,"Error 1.3",IF((M57)-INT(M57)&lt;&gt;0,"Warning 2.2","")))))</f>
      </c>
      <c r="AP57" s="453"/>
      <c r="AR57" s="452">
        <f>IF(AND(Q57="",$H$1&lt;&gt;"*"),"",IF(AND(Q57="",$H$1="*"),"Error 1.1",IF(ISNUMBER(Q57)=FALSE,"Error 1.2",IF(Q57&lt;0,"Error 1.3",IF((Q57)-INT(Q57)&lt;&gt;0,"Warning 2.2","")))))</f>
      </c>
      <c r="AT57" s="452">
        <f>IF(AND(S57="",$H$1&lt;&gt;"*"),"",IF(AND(S57="",$H$1="*"),"Error 1.1",IF(ISNUMBER(S57)=FALSE,"Error 1.2",IF(S57&lt;&gt;0,"Warning 2.4",""))))</f>
      </c>
      <c r="AU57" s="2">
        <f>IF(LEN(TRIM(AH57&amp;AJ57&amp;AL57&amp;AN57&amp;AP57&amp;AR57&amp;AT57))&gt;0,1,0)</f>
        <v>0</v>
      </c>
    </row>
    <row r="58" spans="2:47" ht="12">
      <c r="B58" s="18" t="s">
        <v>129</v>
      </c>
      <c r="C58" s="887" t="s">
        <v>130</v>
      </c>
      <c r="D58" s="887"/>
      <c r="E58" s="887"/>
      <c r="F58" s="19"/>
      <c r="G58" s="12">
        <v>0</v>
      </c>
      <c r="I58" s="12">
        <v>0</v>
      </c>
      <c r="K58" s="12">
        <v>0</v>
      </c>
      <c r="M58" s="12">
        <v>0</v>
      </c>
      <c r="O58" s="13">
        <f>SUM(G58:M58)</f>
        <v>0</v>
      </c>
      <c r="Q58" s="20"/>
      <c r="S58" s="13">
        <f>IF(ISERROR(O58-Q58),0,O58-Q58)</f>
        <v>0</v>
      </c>
      <c r="AC58" s="8" t="str">
        <f t="shared" si="21"/>
        <v>1.6.5</v>
      </c>
      <c r="AD58" s="883" t="str">
        <f t="shared" si="21"/>
        <v>Performance Reward Grant</v>
      </c>
      <c r="AE58" s="883"/>
      <c r="AF58" s="883"/>
      <c r="AH58" s="452">
        <f>IF(AND(G58="",$H$1&lt;&gt;"*"),"",IF(AND(G58="",$H$1="*"),"Error 1.1",IF(ISNUMBER(G58)=FALSE,"Error 1.2",IF(G58&lt;0,"Error 1.3",IF((G58)-INT(G58)&lt;&gt;0,"Warning 2.2","")))))</f>
      </c>
      <c r="AJ58" s="452">
        <f>IF(AND(I58="",$H$1&lt;&gt;"*"),"",IF(AND(I58="",$H$1="*"),"Error 1.1",IF(ISNUMBER(I58)=FALSE,"Error 1.2",IF(I58&lt;0,"Error 1.3",IF((I58)-INT(I58)&lt;&gt;0,"Warning 2.2","")))))</f>
      </c>
      <c r="AL58" s="452">
        <f>IF(AND(K58="",$H$1&lt;&gt;"*"),"",IF(AND(K58="",$H$1="*"),"Error 1.1",IF(ISNUMBER(K58)=FALSE,"Error 1.2",IF(K58&lt;0,"Error 1.3",IF((K58)-INT(K58)&lt;&gt;0,"Warning 2.2","")))))</f>
      </c>
      <c r="AN58" s="452">
        <f>IF(AND(M58="",$H$1&lt;&gt;"*"),"",IF(AND(M58="",$H$1="*"),"Error 1.1",IF(ISNUMBER(M58)=FALSE,"Error 1.2",IF(M58&lt;0,"Error 1.3",IF((M58)-INT(M58)&lt;&gt;0,"Warning 2.2","")))))</f>
      </c>
      <c r="AP58" s="453"/>
      <c r="AR58" s="463"/>
      <c r="AT58" s="452">
        <f>IF(AND(S58="",$H$1&lt;&gt;"*"),"",IF(AND(S58="",$H$1="*"),"Error 1.1",IF(ISNUMBER(S58)=FALSE,"Error 1.2",IF(S58&lt;0,"Error 1.3",IF((S58)-INT(S58)&lt;&gt;0,"Warning 2.2","")))))</f>
      </c>
      <c r="AU58" s="2">
        <f>IF(LEN(TRIM(AH58&amp;AJ58&amp;AL58&amp;AN58&amp;AP58&amp;AR58&amp;AT58))&gt;0,1,0)</f>
        <v>0</v>
      </c>
    </row>
    <row r="59" spans="2:7" ht="12">
      <c r="B59" s="18"/>
      <c r="C59" s="22"/>
      <c r="D59" s="22"/>
      <c r="E59" s="22"/>
      <c r="F59" s="31"/>
      <c r="G59" s="11"/>
    </row>
    <row r="60" spans="2:47" ht="12">
      <c r="B60" s="18" t="s">
        <v>131</v>
      </c>
      <c r="C60" s="887" t="s">
        <v>132</v>
      </c>
      <c r="D60" s="887"/>
      <c r="E60" s="887"/>
      <c r="F60" s="19"/>
      <c r="G60" s="12">
        <v>0</v>
      </c>
      <c r="I60" s="12">
        <f>680546+6</f>
        <v>680552</v>
      </c>
      <c r="K60" s="12">
        <v>626566</v>
      </c>
      <c r="M60" s="12">
        <v>48063</v>
      </c>
      <c r="O60" s="13">
        <f>SUM(G60:M60)</f>
        <v>1355181</v>
      </c>
      <c r="Q60" s="12">
        <v>0</v>
      </c>
      <c r="S60" s="13">
        <f>IF(ISERROR(O60-Q60),0,O60-Q60)</f>
        <v>1355181</v>
      </c>
      <c r="AC60" s="8" t="str">
        <f>B60</f>
        <v>1.7.1</v>
      </c>
      <c r="AD60" s="883" t="str">
        <f>C60</f>
        <v>Capital Expenditure from Revenue (CERA) (Schools)</v>
      </c>
      <c r="AE60" s="883"/>
      <c r="AF60" s="883"/>
      <c r="AH60" s="452">
        <f>IF(AND(G60="",$H$1&lt;&gt;"*"),"",IF(AND(G60="",$H$1="*"),"Error 1.1",IF(ISNUMBER(G60)=FALSE,"Error 1.2",IF(G60&lt;0,"Error 1.3",IF((G60)-INT(G60)&lt;&gt;0,"Warning 2.2","")))))</f>
      </c>
      <c r="AJ60" s="452">
        <f>IF(AND(I60="",$H$1&lt;&gt;"*"),"",IF(AND(I60="",$H$1="*"),"Error 1.1",IF(ISNUMBER(I60)=FALSE,"Error 1.2",IF(I60&lt;0,"Error 1.3",IF((I60)-INT(I60)&lt;&gt;0,"Warning 2.2","")))))</f>
      </c>
      <c r="AL60" s="452">
        <f>IF(AND(K60="",$H$1&lt;&gt;"*"),"",IF(AND(K60="",$H$1="*"),"Error 1.1",IF(ISNUMBER(K60)=FALSE,"Error 1.2",IF(K60&lt;0,"Error 1.3",IF((K60)-INT(K60)&lt;&gt;0,"Warning 2.2","")))))</f>
      </c>
      <c r="AN60" s="452">
        <f>IF(AND(M60="",$H$1&lt;&gt;"*"),"",IF(AND(M60="",$H$1="*"),"Error 1.1",IF(ISNUMBER(M60)=FALSE,"Error 1.2",IF(M60&lt;0,"Error 1.3",IF((M60)-INT(M60)&lt;&gt;0,"Warning 2.2","")))))</f>
      </c>
      <c r="AP60" s="453"/>
      <c r="AR60" s="452">
        <f>IF(AND(Q60="",$H$1&lt;&gt;"*"),"",IF(AND(Q60="",$H$1="*"),"Error 1.1",IF(ISNUMBER(Q60)=FALSE,"Error 1.2",IF(Q60&lt;0,"Error 1.3",IF((Q60)-INT(Q60)&lt;&gt;0,"Warning 2.2","")))))</f>
      </c>
      <c r="AT60" s="452">
        <f>IF(AND(S60="",$H$1&lt;&gt;"*"),"",IF(AND(S60="",$H$1="*"),"Error 1.1",IF(ISNUMBER(S60)=FALSE,"Error 1.2",IF(S60&lt;0,"Error 1.3",IF((S60)-INT(S60)&lt;&gt;0,"Warning 2.2","")))))</f>
      </c>
      <c r="AU60" s="2">
        <f>IF(LEN(TRIM(AH60&amp;AJ60&amp;AL60&amp;AN60&amp;AP60&amp;AR60&amp;AT60))&gt;0,1,0)</f>
        <v>0</v>
      </c>
    </row>
    <row r="61" spans="2:47" ht="12">
      <c r="B61" s="18" t="s">
        <v>133</v>
      </c>
      <c r="C61" s="880" t="s">
        <v>134</v>
      </c>
      <c r="D61" s="880"/>
      <c r="E61" s="880"/>
      <c r="F61" s="19"/>
      <c r="G61" s="12">
        <v>0</v>
      </c>
      <c r="I61" s="12">
        <v>0</v>
      </c>
      <c r="K61" s="12">
        <v>0</v>
      </c>
      <c r="M61" s="12">
        <v>0</v>
      </c>
      <c r="O61" s="13">
        <f>SUM(G61:M61)</f>
        <v>0</v>
      </c>
      <c r="Q61" s="12">
        <v>0</v>
      </c>
      <c r="S61" s="13">
        <f>IF(ISERROR(O61-Q61),0,O61-Q61)</f>
        <v>0</v>
      </c>
      <c r="AC61" s="8" t="str">
        <f>B61</f>
        <v>1.7.2</v>
      </c>
      <c r="AD61" s="883" t="str">
        <f>C61</f>
        <v>Prudential borrowing costs</v>
      </c>
      <c r="AE61" s="883"/>
      <c r="AF61" s="883"/>
      <c r="AH61" s="452">
        <f>IF(AND(G61="",$H$1&lt;&gt;"*"),"",IF(AND(G61="",$H$1="*"),"Error 1.1",IF(ISNUMBER(G61)=FALSE,"Error 1.2",IF(G61&lt;0,"Error 1.3",IF((G61)-INT(G61)&lt;&gt;0,"Warning 2.2","")))))</f>
      </c>
      <c r="AJ61" s="452">
        <f>IF(AND(I61="",$H$1&lt;&gt;"*"),"",IF(AND(I61="",$H$1="*"),"Error 1.1",IF(ISNUMBER(I61)=FALSE,"Error 1.2",IF(I61&lt;0,"Error 1.3",IF((I61)-INT(I61)&lt;&gt;0,"Warning 2.2","")))))</f>
      </c>
      <c r="AL61" s="452">
        <f>IF(AND(K61="",$H$1&lt;&gt;"*"),"",IF(AND(K61="",$H$1="*"),"Error 1.1",IF(ISNUMBER(K61)=FALSE,"Error 1.2",IF(K61&lt;0,"Error 1.3",IF((K61)-INT(K61)&lt;&gt;0,"Warning 2.2","")))))</f>
      </c>
      <c r="AN61" s="452">
        <f>IF(AND(M61="",$H$1&lt;&gt;"*"),"",IF(AND(M61="",$H$1="*"),"Error 1.1",IF(ISNUMBER(M61)=FALSE,"Error 1.2",IF(M61&lt;0,"Error 1.3",IF((M61)-INT(M61)&lt;&gt;0,"Warning 2.2","")))))</f>
      </c>
      <c r="AP61" s="453"/>
      <c r="AR61" s="452">
        <f>IF(AND(Q61="",$H$1&lt;&gt;"*"),"",IF(AND(Q61="",$H$1="*"),"Error 1.1",IF(ISNUMBER(Q61)=FALSE,"Error 1.2",IF(Q61&lt;0,"Error 1.3",IF((Q61)-INT(Q61)&lt;&gt;0,"Warning 2.2","")))))</f>
      </c>
      <c r="AT61" s="452">
        <f>IF(AND(S61="",$H$1&lt;&gt;"*"),"",IF(AND(S61="",$H$1="*"),"Error 1.1",IF(ISNUMBER(S61)=FALSE,"Error 1.2",IF(S61&lt;0,"Error 1.3",IF((S61)-INT(S61)&lt;&gt;0,"Warning 2.2","")))))</f>
      </c>
      <c r="AU61" s="2">
        <f>IF(LEN(TRIM(AH61&amp;AJ61&amp;AL61&amp;AN61&amp;AP61&amp;AR61&amp;AT61))&gt;0,1,0)</f>
        <v>0</v>
      </c>
    </row>
    <row r="62" spans="2:7" ht="12.75" thickBot="1">
      <c r="B62" s="18"/>
      <c r="C62" s="21"/>
      <c r="D62" s="22"/>
      <c r="E62" s="22"/>
      <c r="F62" s="19"/>
      <c r="G62" s="11"/>
    </row>
    <row r="63" spans="2:47" ht="13.5" thickBot="1" thickTop="1">
      <c r="B63" s="18" t="s">
        <v>135</v>
      </c>
      <c r="C63" s="886" t="s">
        <v>136</v>
      </c>
      <c r="D63" s="886"/>
      <c r="E63" s="886"/>
      <c r="F63" s="19"/>
      <c r="G63" s="32">
        <f>SUM(G11:G61)</f>
        <v>1445690</v>
      </c>
      <c r="I63" s="32">
        <f>SUM(I11:I61)</f>
        <v>65040572</v>
      </c>
      <c r="K63" s="32">
        <f>SUM(K11:K61)</f>
        <v>61870665</v>
      </c>
      <c r="M63" s="32">
        <f>SUM(M11:M61)</f>
        <v>7765937</v>
      </c>
      <c r="O63" s="32">
        <f>SUM(G63:M63)</f>
        <v>136122864</v>
      </c>
      <c r="Q63" s="32">
        <f>SUM(Q11:Q61)</f>
        <v>19041581</v>
      </c>
      <c r="S63" s="32">
        <f>IF(ISERROR(O63-Q63),0,O63-Q63)</f>
        <v>117081283</v>
      </c>
      <c r="U63" s="13">
        <v>131309489</v>
      </c>
      <c r="V63" s="449" t="s">
        <v>823</v>
      </c>
      <c r="W63" s="450">
        <v>0</v>
      </c>
      <c r="X63" s="451">
        <v>0</v>
      </c>
      <c r="Y63" s="450">
        <v>0.15</v>
      </c>
      <c r="Z63" s="451">
        <v>0</v>
      </c>
      <c r="AC63" s="8" t="str">
        <f>B63</f>
        <v>1.8.1</v>
      </c>
      <c r="AD63" s="501" t="str">
        <f>C63</f>
        <v>TOTAL SCHOOLS BUDGET</v>
      </c>
      <c r="AE63" s="501"/>
      <c r="AF63" s="501"/>
      <c r="AH63" s="467"/>
      <c r="AJ63" s="467"/>
      <c r="AL63" s="467"/>
      <c r="AN63" s="467"/>
      <c r="AP63" s="468">
        <f>IF(AND(U63&lt;&gt;0,U63&lt;&gt;"",OR(AND(O63&lt;U63+(U63*W63),O63-U63&lt;X63),AND(O63&gt;U63+(U63*Y63),O63-U63&gt;Z63))),"Warning 3.1","")</f>
      </c>
      <c r="AR63" s="467"/>
      <c r="AT63" s="468" t="s">
        <v>33</v>
      </c>
      <c r="AU63" s="2">
        <f>IF(LEN(TRIM(AH63&amp;AJ63&amp;AL63&amp;AN63&amp;AP63&amp;AR63&amp;AT63))&gt;0,1,0)</f>
        <v>0</v>
      </c>
    </row>
    <row r="64" spans="2:7" ht="12.75" thickTop="1">
      <c r="B64" s="18"/>
      <c r="C64" s="33"/>
      <c r="D64" s="22"/>
      <c r="E64" s="22"/>
      <c r="F64" s="19"/>
      <c r="G64" s="11"/>
    </row>
    <row r="65" spans="2:32" ht="12">
      <c r="B65" s="34">
        <v>2</v>
      </c>
      <c r="C65" s="499" t="s">
        <v>137</v>
      </c>
      <c r="D65" s="499"/>
      <c r="E65" s="499"/>
      <c r="F65" s="19"/>
      <c r="G65" s="11"/>
      <c r="AC65" s="8">
        <f>B65</f>
        <v>2</v>
      </c>
      <c r="AD65" s="501" t="str">
        <f>C65</f>
        <v>LEA BUDGET</v>
      </c>
      <c r="AE65" s="501"/>
      <c r="AF65" s="501"/>
    </row>
    <row r="66" spans="2:7" ht="12">
      <c r="B66" s="18"/>
      <c r="C66" s="35"/>
      <c r="D66" s="22"/>
      <c r="E66" s="22"/>
      <c r="F66" s="19"/>
      <c r="G66" s="11"/>
    </row>
    <row r="67" spans="2:32" ht="12">
      <c r="B67" s="18"/>
      <c r="C67" s="499" t="s">
        <v>138</v>
      </c>
      <c r="D67" s="499"/>
      <c r="E67" s="499"/>
      <c r="F67" s="26"/>
      <c r="G67" s="11"/>
      <c r="AD67" s="501" t="str">
        <f aca="true" t="shared" si="22" ref="AD67:AD75">C67</f>
        <v>STRATEGIC MANAGEMENT</v>
      </c>
      <c r="AE67" s="501"/>
      <c r="AF67" s="501"/>
    </row>
    <row r="68" spans="2:47" ht="12">
      <c r="B68" s="18" t="s">
        <v>139</v>
      </c>
      <c r="C68" s="887" t="s">
        <v>140</v>
      </c>
      <c r="D68" s="887"/>
      <c r="E68" s="887"/>
      <c r="F68" s="26"/>
      <c r="G68" s="11"/>
      <c r="O68" s="12">
        <v>3587756</v>
      </c>
      <c r="Q68" s="12">
        <v>442010</v>
      </c>
      <c r="S68" s="13">
        <f>IF(ISERROR(O68-Q68),0,O68-Q68)</f>
        <v>3145746</v>
      </c>
      <c r="AC68" s="8" t="str">
        <f aca="true" t="shared" si="23" ref="AC68:AC75">B68</f>
        <v>2.0.1</v>
      </c>
      <c r="AD68" s="883" t="str">
        <f t="shared" si="22"/>
        <v>Statutory / regulatory duties</v>
      </c>
      <c r="AE68" s="883"/>
      <c r="AF68" s="883"/>
      <c r="AP68" s="452">
        <f aca="true" t="shared" si="24" ref="AP68:AP74">IF(AND(O68="",$H$1&lt;&gt;"*"),"",IF(AND(O68="",$H$1="*"),"Error 1.1",IF(ISNUMBER(O68)=FALSE,"Error 1.2",IF(O68&lt;0,"Error 1.3",IF((O68)-INT(O68)&lt;&gt;0,"Warning 2.2","")))))</f>
      </c>
      <c r="AR68" s="452">
        <f>IF(AND(Q68="",$H$1&lt;&gt;"*"),"",IF(AND(Q68="",$H$1="*"),"Error 1.1",IF(ISNUMBER(Q68)=FALSE,"Error 1.2",IF(Q68&lt;0,"Error 1.3",IF((Q68)-INT(Q68)&lt;&gt;0,"Warning 2.2","")))))</f>
      </c>
      <c r="AT68" s="452">
        <f>IF(AND(S68="",$H$1&lt;&gt;"*"),"",IF(AND(S68="",$H$1="*"),"Error 1.1",IF(ISNUMBER(S68)=FALSE,"Error 1.2",IF(S68&lt;=0,"Error 1.4",IF((S68)-INT(S68)&lt;&gt;0,"Warning 2.2","")))))</f>
      </c>
      <c r="AU68" s="2">
        <f>IF(LEN(TRIM(AP68&amp;AR68&amp;AT68))&gt;0,1,0)</f>
        <v>0</v>
      </c>
    </row>
    <row r="69" spans="2:47" ht="12">
      <c r="B69" s="18" t="s">
        <v>141</v>
      </c>
      <c r="C69" s="887" t="s">
        <v>142</v>
      </c>
      <c r="D69" s="887"/>
      <c r="E69" s="887"/>
      <c r="F69" s="19"/>
      <c r="G69" s="11"/>
      <c r="O69" s="12">
        <v>123150</v>
      </c>
      <c r="Q69" s="12">
        <v>0</v>
      </c>
      <c r="S69" s="13">
        <f>IF(ISERROR(O69-Q69),0,O69-Q69)</f>
        <v>123150</v>
      </c>
      <c r="AC69" s="8" t="str">
        <f t="shared" si="23"/>
        <v>2.0.2</v>
      </c>
      <c r="AD69" s="883" t="str">
        <f t="shared" si="22"/>
        <v>Premature retirement costs / redundancy costs</v>
      </c>
      <c r="AE69" s="883"/>
      <c r="AF69" s="883"/>
      <c r="AP69" s="452">
        <f t="shared" si="24"/>
      </c>
      <c r="AR69" s="452">
        <f>IF(AND(Q69="",$H$1&lt;&gt;"*"),"",IF(AND(Q69="",$H$1="*"),"Error 1.1",IF(ISNUMBER(Q69)=FALSE,"Error 1.2",IF(Q69&lt;&gt;0,"Error 1.5",IF((Q69)-INT(Q69)&lt;&gt;0,"Warning 2.2","")))))</f>
      </c>
      <c r="AT69" s="452">
        <f aca="true" t="shared" si="25" ref="AT69:AT74">IF(AND(S69="",$H$1&lt;&gt;"*"),"",IF(AND(S69="",$H$1="*"),"Error 1.1",IF(ISNUMBER(S69)=FALSE,"Error 1.2",IF(S69&lt;0,"Error 1.3",IF((S69)-INT(S69)&lt;&gt;0,"Warning 2.2","")))))</f>
      </c>
      <c r="AU69" s="2">
        <f aca="true" t="shared" si="26" ref="AU69:AU75">IF(LEN(TRIM(AP69&amp;AR69&amp;AT69))&gt;0,1,0)</f>
        <v>0</v>
      </c>
    </row>
    <row r="70" spans="2:47" ht="12.75" customHeight="1">
      <c r="B70" s="18" t="s">
        <v>143</v>
      </c>
      <c r="C70" s="880" t="s">
        <v>144</v>
      </c>
      <c r="D70" s="880"/>
      <c r="E70" s="880"/>
      <c r="F70" s="28"/>
      <c r="G70" s="11"/>
      <c r="O70" s="12">
        <v>828170</v>
      </c>
      <c r="Q70" s="12">
        <v>0</v>
      </c>
      <c r="S70" s="13">
        <f aca="true" t="shared" si="27" ref="S70:S75">IF(ISERROR(O70-Q70),0,O70-Q70)</f>
        <v>828170</v>
      </c>
      <c r="AC70" s="8" t="str">
        <f t="shared" si="23"/>
        <v>2.0.3</v>
      </c>
      <c r="AD70" s="883" t="str">
        <f t="shared" si="22"/>
        <v>Existing early retirement costs (commitments entered into by 31/3/99)</v>
      </c>
      <c r="AE70" s="883"/>
      <c r="AF70" s="883"/>
      <c r="AP70" s="452">
        <f t="shared" si="24"/>
      </c>
      <c r="AR70" s="452">
        <f>IF(AND(Q70="",$H$1&lt;&gt;"*"),"",IF(AND(Q70="",$H$1="*"),"Error 1.1",IF(ISNUMBER(Q70)=FALSE,"Error 1.2",IF(Q70&lt;0,"Error 1.3",IF((Q70)-INT(Q70)&lt;&gt;0,"Warning 2.2","")))))</f>
      </c>
      <c r="AT70" s="452">
        <f t="shared" si="25"/>
      </c>
      <c r="AU70" s="2">
        <f t="shared" si="26"/>
        <v>0</v>
      </c>
    </row>
    <row r="71" spans="2:47" ht="12.75" customHeight="1">
      <c r="B71" s="36" t="s">
        <v>145</v>
      </c>
      <c r="C71" s="889" t="s">
        <v>146</v>
      </c>
      <c r="D71" s="889"/>
      <c r="E71" s="889"/>
      <c r="F71" s="37"/>
      <c r="G71" s="11"/>
      <c r="O71" s="12">
        <v>91540</v>
      </c>
      <c r="Q71" s="12">
        <v>10440</v>
      </c>
      <c r="S71" s="13">
        <f t="shared" si="27"/>
        <v>81100</v>
      </c>
      <c r="AC71" s="8" t="str">
        <f t="shared" si="23"/>
        <v>2.0.4</v>
      </c>
      <c r="AD71" s="883" t="str">
        <f t="shared" si="22"/>
        <v>Residual pension liability (eg FE, Careers Service, etc.)</v>
      </c>
      <c r="AE71" s="883"/>
      <c r="AF71" s="883"/>
      <c r="AP71" s="452">
        <f t="shared" si="24"/>
      </c>
      <c r="AR71" s="452">
        <f>IF(AND(Q71="",$H$1&lt;&gt;"*"),"",IF(AND(Q71="",$H$1="*"),"Error 1.1",IF(ISNUMBER(Q71)=FALSE,"Error 1.2",IF(Q71&lt;0,"Error 1.3",IF((Q71)-INT(Q71)&lt;&gt;0,"Warning 2.2","")))))</f>
      </c>
      <c r="AT71" s="452">
        <f t="shared" si="25"/>
      </c>
      <c r="AU71" s="2">
        <f t="shared" si="26"/>
        <v>0</v>
      </c>
    </row>
    <row r="72" spans="2:47" ht="12">
      <c r="B72" s="18" t="s">
        <v>147</v>
      </c>
      <c r="C72" s="887" t="s">
        <v>148</v>
      </c>
      <c r="D72" s="887"/>
      <c r="E72" s="887"/>
      <c r="F72" s="19"/>
      <c r="G72" s="11"/>
      <c r="O72" s="12">
        <v>0</v>
      </c>
      <c r="Q72" s="12">
        <v>0</v>
      </c>
      <c r="S72" s="13">
        <f t="shared" si="27"/>
        <v>0</v>
      </c>
      <c r="AC72" s="8" t="str">
        <f t="shared" si="23"/>
        <v>2.0.5</v>
      </c>
      <c r="AD72" s="883" t="str">
        <f t="shared" si="22"/>
        <v>Joint use arrangements</v>
      </c>
      <c r="AE72" s="883"/>
      <c r="AF72" s="883"/>
      <c r="AP72" s="452">
        <f t="shared" si="24"/>
      </c>
      <c r="AR72" s="452">
        <f>IF(AND(Q72="",$H$1&lt;&gt;"*"),"",IF(AND(Q72="",$H$1="*"),"Error 1.1",IF(ISNUMBER(Q72)=FALSE,"Error 1.2",IF(Q72&lt;0,"Error 1.3",IF((Q72)-INT(Q72)&lt;&gt;0,"Warning 2.2","")))))</f>
      </c>
      <c r="AT72" s="452">
        <f t="shared" si="25"/>
      </c>
      <c r="AU72" s="2">
        <f t="shared" si="26"/>
        <v>0</v>
      </c>
    </row>
    <row r="73" spans="2:47" ht="12">
      <c r="B73" s="18" t="s">
        <v>149</v>
      </c>
      <c r="C73" s="887" t="s">
        <v>102</v>
      </c>
      <c r="D73" s="887"/>
      <c r="E73" s="887"/>
      <c r="F73" s="19"/>
      <c r="G73" s="11"/>
      <c r="O73" s="12">
        <v>0</v>
      </c>
      <c r="Q73" s="12">
        <v>0</v>
      </c>
      <c r="S73" s="13">
        <f t="shared" si="27"/>
        <v>0</v>
      </c>
      <c r="AC73" s="8" t="str">
        <f t="shared" si="23"/>
        <v>2.0.6</v>
      </c>
      <c r="AD73" s="883" t="str">
        <f t="shared" si="22"/>
        <v>Insurance</v>
      </c>
      <c r="AE73" s="883"/>
      <c r="AF73" s="883"/>
      <c r="AP73" s="452">
        <f t="shared" si="24"/>
      </c>
      <c r="AR73" s="452">
        <f>IF(AND(Q73="",$H$1&lt;&gt;"*"),"",IF(AND(Q73="",$H$1="*"),"Error 1.1",IF(ISNUMBER(Q73)=FALSE,"Error 1.2",IF(Q73&lt;0,"Error 1.3",IF((Q73)-INT(Q73)&lt;&gt;0,"Warning 2.2","")))))</f>
      </c>
      <c r="AT73" s="452">
        <f t="shared" si="25"/>
      </c>
      <c r="AU73" s="2">
        <f t="shared" si="26"/>
        <v>0</v>
      </c>
    </row>
    <row r="74" spans="2:47" ht="12.75" thickBot="1">
      <c r="B74" s="18" t="s">
        <v>150</v>
      </c>
      <c r="C74" s="887" t="s">
        <v>151</v>
      </c>
      <c r="D74" s="887"/>
      <c r="E74" s="887"/>
      <c r="F74" s="19"/>
      <c r="G74" s="11"/>
      <c r="O74" s="38">
        <v>156751</v>
      </c>
      <c r="Q74" s="12">
        <v>0</v>
      </c>
      <c r="S74" s="39">
        <f t="shared" si="27"/>
        <v>156751</v>
      </c>
      <c r="AC74" s="8" t="str">
        <f t="shared" si="23"/>
        <v>2.0.7</v>
      </c>
      <c r="AD74" s="883" t="str">
        <f t="shared" si="22"/>
        <v>Monitoring National Curriculum Assessment</v>
      </c>
      <c r="AE74" s="883"/>
      <c r="AF74" s="883"/>
      <c r="AP74" s="452">
        <f t="shared" si="24"/>
      </c>
      <c r="AR74" s="452">
        <f>IF(AND(Q74="",$H$1&lt;&gt;"*"),"",IF(AND(Q74="",$H$1="*"),"Error 1.1",IF(ISNUMBER(Q74)=FALSE,"Error 1.2",IF(Q74&lt;0,"Error 1.3",IF((Q74)-INT(Q74)&lt;&gt;0,"Warning 2.2","")))))</f>
      </c>
      <c r="AT74" s="469">
        <f t="shared" si="25"/>
      </c>
      <c r="AU74" s="2">
        <f t="shared" si="26"/>
        <v>0</v>
      </c>
    </row>
    <row r="75" spans="2:47" ht="12.75" thickBot="1">
      <c r="B75" s="30" t="s">
        <v>152</v>
      </c>
      <c r="C75" s="886" t="s">
        <v>153</v>
      </c>
      <c r="D75" s="886"/>
      <c r="E75" s="886"/>
      <c r="F75" s="19"/>
      <c r="G75" s="11"/>
      <c r="O75" s="40">
        <f>SUM(O68:O74)</f>
        <v>4787367</v>
      </c>
      <c r="Q75" s="40">
        <f>SUM(Q68:Q74)</f>
        <v>452450</v>
      </c>
      <c r="S75" s="40">
        <f t="shared" si="27"/>
        <v>4334917</v>
      </c>
      <c r="U75" s="13">
        <v>4275088</v>
      </c>
      <c r="V75" s="449" t="s">
        <v>822</v>
      </c>
      <c r="W75" s="450">
        <v>-0.2</v>
      </c>
      <c r="X75" s="451">
        <v>-200000</v>
      </c>
      <c r="Y75" s="450">
        <v>0.15</v>
      </c>
      <c r="Z75" s="451">
        <v>500000</v>
      </c>
      <c r="AC75" s="8" t="str">
        <f t="shared" si="23"/>
        <v>2.0.8</v>
      </c>
      <c r="AD75" s="501" t="str">
        <f t="shared" si="22"/>
        <v>Total Strategic Management</v>
      </c>
      <c r="AE75" s="501"/>
      <c r="AF75" s="501"/>
      <c r="AP75" s="470"/>
      <c r="AR75" s="470"/>
      <c r="AT75" s="471">
        <f>IF(AND(S75="",$H$1&lt;&gt;"*"),"",IF(AND(S75="",$H$1="*"),"Error 1.1",IF(ISNUMBER(S75)=FALSE,"Error 1.2",IF(S75&lt;=0,"Error 1.4",IF(AND(U75&lt;&gt;0,U75&lt;&gt;"",OR(AND(S75&lt;U75+(U75*W75),S75-U75&lt;X75),AND(S75&gt;U75+(U75*Y75),S75-U75&gt;Z75))),"Warning 3.1",IF((S75)-INT(S75)&lt;&gt;0,"Warning 2.2",""))))))</f>
      </c>
      <c r="AU75" s="472">
        <f t="shared" si="26"/>
        <v>0</v>
      </c>
    </row>
    <row r="76" spans="2:7" ht="12">
      <c r="B76" s="9"/>
      <c r="C76" s="9"/>
      <c r="D76" s="9"/>
      <c r="E76" s="9"/>
      <c r="F76" s="11"/>
      <c r="G76" s="11"/>
    </row>
    <row r="77" spans="2:32" ht="12">
      <c r="B77" s="18"/>
      <c r="C77" s="500" t="s">
        <v>154</v>
      </c>
      <c r="D77" s="500"/>
      <c r="E77" s="500"/>
      <c r="F77" s="26"/>
      <c r="G77" s="11"/>
      <c r="AD77" s="501" t="str">
        <f>C77</f>
        <v>SPECIFIC GRANTS AND SPECIFIC FORMULA GRANTS</v>
      </c>
      <c r="AE77" s="501"/>
      <c r="AF77" s="501"/>
    </row>
    <row r="78" spans="2:47" ht="12">
      <c r="B78" s="18" t="s">
        <v>155</v>
      </c>
      <c r="C78" s="887" t="s">
        <v>156</v>
      </c>
      <c r="D78" s="887"/>
      <c r="E78" s="887"/>
      <c r="F78" s="19"/>
      <c r="G78" s="11"/>
      <c r="O78" s="12">
        <v>0</v>
      </c>
      <c r="Q78" s="12">
        <v>0</v>
      </c>
      <c r="S78" s="13">
        <f>IF(ISERROR(O78-Q78),0,O78-Q78)</f>
        <v>0</v>
      </c>
      <c r="AC78" s="8" t="str">
        <f>B78</f>
        <v>2.1.1</v>
      </c>
      <c r="AD78" s="883" t="str">
        <f>C78</f>
        <v>School Development Grant - non-devolved</v>
      </c>
      <c r="AE78" s="883"/>
      <c r="AF78" s="883"/>
      <c r="AP78" s="452">
        <f>IF(AND(O78="",$H$1&lt;&gt;"*"),"",IF(AND(O78="",$H$1="*"),"Error 1.1",IF(ISNUMBER(O78)=FALSE,"Error 1.2",IF(O78&lt;0,"Error 1.3",IF((O78)-INT(O78)&lt;&gt;0,"Warning 2.2","")))))</f>
      </c>
      <c r="AR78" s="452">
        <f>IF(AND(Q78="",$H$1&lt;&gt;"*"),"",IF(AND(Q78="",$H$1="*"),"Error 1.1",IF(ISNUMBER(Q78)=FALSE,"Error 1.2",IF(Q78&lt;0,"Error 1.3",IF((Q78)-INT(Q78)&lt;&gt;0,"Warning 2.2","")))))</f>
      </c>
      <c r="AT78" s="452">
        <f>IF(AND(S78="",$H$1&lt;&gt;"*"),"",IF(AND(S78="",$H$1="*"),"Error 1.1",IF(ISNUMBER(S78)=FALSE,"Error 1.2",IF(S78&lt;0,"Error 1.3",IF((S78)-INT(S78)&lt;&gt;0,"Warning 2.2","")))))</f>
      </c>
      <c r="AU78" s="2">
        <f>IF(LEN(TRIM(AP78&amp;AR78&amp;AT78))&gt;0,1,0)</f>
        <v>0</v>
      </c>
    </row>
    <row r="79" spans="2:47" ht="12">
      <c r="B79" s="18" t="s">
        <v>157</v>
      </c>
      <c r="C79" s="887" t="s">
        <v>158</v>
      </c>
      <c r="D79" s="887"/>
      <c r="E79" s="887"/>
      <c r="F79" s="19"/>
      <c r="G79" s="11"/>
      <c r="O79" s="12">
        <v>1345021</v>
      </c>
      <c r="Q79" s="12">
        <v>996340</v>
      </c>
      <c r="S79" s="13">
        <f>IF(ISERROR(O79-Q79),0,O79-Q79)</f>
        <v>348681</v>
      </c>
      <c r="AC79" s="8" t="str">
        <f>B79</f>
        <v>2.1.2</v>
      </c>
      <c r="AD79" s="883" t="str">
        <f>C79</f>
        <v>Other Standards Fund - non-devolved</v>
      </c>
      <c r="AE79" s="883"/>
      <c r="AF79" s="883"/>
      <c r="AP79" s="452">
        <f>IF(AND(O79="",$H$1&lt;&gt;"*"),"",IF(AND(O79="",$H$1="*"),"Error 1.1",IF(ISNUMBER(O79)=FALSE,"Error 1.2",IF(O79&lt;0,"Error 1.3",IF((O79)-INT(O79)&lt;&gt;0,"Warning 2.2","")))))</f>
      </c>
      <c r="AR79" s="452">
        <f>IF(AND(Q79="",$H$1&lt;&gt;"*"),"",IF(AND(Q79="",$H$1="*"),"Error 1.1",IF(ISNUMBER(Q79)=FALSE,"Error 1.2",IF(Q79&lt;0,"Error 1.3",IF((Q79)-INT(Q79)&lt;&gt;0,"Warning 2.2","")))))</f>
      </c>
      <c r="AT79" s="452">
        <f>IF(AND(S79="",$H$1&lt;&gt;"*"),"",IF(AND(S79="",$H$1="*"),"Error 1.1",IF(ISNUMBER(S79)=FALSE,"Error 1.2",IF(S79&lt;0,"Error 1.3",IF((S79)-INT(S79)&lt;&gt;0,"Warning 2.2","")))))</f>
      </c>
      <c r="AU79" s="2">
        <f>IF(LEN(TRIM(AP79&amp;AR79&amp;AT79))&gt;0,1,0)</f>
        <v>0</v>
      </c>
    </row>
    <row r="80" spans="2:47" ht="12.75" thickBot="1">
      <c r="B80" s="18" t="s">
        <v>159</v>
      </c>
      <c r="C80" s="887" t="s">
        <v>126</v>
      </c>
      <c r="D80" s="887"/>
      <c r="E80" s="887"/>
      <c r="F80" s="19"/>
      <c r="G80" s="11"/>
      <c r="O80" s="12">
        <v>0</v>
      </c>
      <c r="Q80" s="12">
        <v>0</v>
      </c>
      <c r="S80" s="13">
        <f>IF(ISERROR(O80-Q80),0,O80-Q80)</f>
        <v>0</v>
      </c>
      <c r="AC80" s="8" t="str">
        <f>B80</f>
        <v>2.1.3</v>
      </c>
      <c r="AD80" s="883" t="str">
        <f>C80</f>
        <v>Non-Standards Fund specific grant</v>
      </c>
      <c r="AE80" s="883"/>
      <c r="AF80" s="883"/>
      <c r="AP80" s="452">
        <f>IF(AND(O80="",$H$1&lt;&gt;"*"),"",IF(AND(O80="",$H$1="*"),"Error 1.1",IF(ISNUMBER(O80)=FALSE,"Error 1.2",IF(O80&lt;0,"Error 1.3",IF((O80)-INT(O80)&lt;&gt;0,"Warning 2.2","")))))</f>
      </c>
      <c r="AR80" s="452">
        <f>IF(AND(Q80="",$H$1&lt;&gt;"*"),"",IF(AND(Q80="",$H$1="*"),"Error 1.1",IF(ISNUMBER(Q80)=FALSE,"Error 1.2",IF(Q80&lt;0,"Error 1.3",IF((Q80)-INT(Q80)&lt;&gt;0,"Warning 2.2","")))))</f>
      </c>
      <c r="AT80" s="452">
        <f>IF(AND(S80="",$H$1&lt;&gt;"*"),"",IF(AND(S80="",$H$1="*"),"Error 1.1",IF(ISNUMBER(S80)=FALSE,"Error 1.2",IF(S80&lt;0,"Error 1.3",IF((S80)-INT(S80)&lt;&gt;0,"Warning 2.2","")))))</f>
      </c>
      <c r="AU80" s="2">
        <f>IF(LEN(TRIM(AP80&amp;AR80&amp;AT80))&gt;0,1,0)</f>
        <v>0</v>
      </c>
    </row>
    <row r="81" spans="2:47" ht="12.75" thickBot="1">
      <c r="B81" s="18" t="s">
        <v>160</v>
      </c>
      <c r="C81" s="886" t="s">
        <v>161</v>
      </c>
      <c r="D81" s="886"/>
      <c r="E81" s="886"/>
      <c r="F81" s="19"/>
      <c r="G81" s="11"/>
      <c r="O81" s="40">
        <f>SUM(O78:O80)</f>
        <v>1345021</v>
      </c>
      <c r="Q81" s="40">
        <f>SUM(Q78:Q80)</f>
        <v>996340</v>
      </c>
      <c r="S81" s="40">
        <f>IF(ISERROR(O81-Q81),0,O81-Q81)</f>
        <v>348681</v>
      </c>
      <c r="AC81" s="8" t="str">
        <f>B81</f>
        <v>2.1.4</v>
      </c>
      <c r="AD81" s="501" t="str">
        <f>C81</f>
        <v>Total Specific Grants</v>
      </c>
      <c r="AE81" s="501"/>
      <c r="AF81" s="501"/>
      <c r="AP81" s="470"/>
      <c r="AR81" s="470"/>
      <c r="AT81" s="471">
        <f>IF(AND(S81="",$H$1&lt;&gt;"*"),"",IF(AND(S81="",$H$1="*"),"Error 1.1",IF(ISNUMBER(S81)=FALSE,"Error 1.2",IF(S81&lt;0,"Error 1.3",IF((S81)-INT(S81)&lt;&gt;0,"Warning 2.2","")))))</f>
      </c>
      <c r="AU81" s="2">
        <f>IF(LEN(TRIM(AP81&amp;AR81&amp;AT81))&gt;0,1,0)</f>
        <v>0</v>
      </c>
    </row>
    <row r="82" spans="2:7" ht="12">
      <c r="B82" s="18"/>
      <c r="C82" s="22"/>
      <c r="D82" s="22"/>
      <c r="E82" s="22"/>
      <c r="F82" s="19"/>
      <c r="G82" s="11"/>
    </row>
    <row r="83" spans="2:32" ht="12">
      <c r="B83" s="18"/>
      <c r="C83" s="499" t="s">
        <v>162</v>
      </c>
      <c r="D83" s="499"/>
      <c r="E83" s="499"/>
      <c r="F83" s="26"/>
      <c r="G83" s="11"/>
      <c r="AD83" s="501" t="str">
        <f aca="true" t="shared" si="28" ref="AD83:AD90">C83</f>
        <v>SPECIAL EDUCATION </v>
      </c>
      <c r="AE83" s="501"/>
      <c r="AF83" s="501"/>
    </row>
    <row r="84" spans="2:47" ht="12">
      <c r="B84" s="30" t="s">
        <v>163</v>
      </c>
      <c r="C84" s="887" t="s">
        <v>164</v>
      </c>
      <c r="D84" s="887"/>
      <c r="E84" s="887"/>
      <c r="F84" s="19"/>
      <c r="G84" s="11"/>
      <c r="O84" s="12">
        <v>662396</v>
      </c>
      <c r="Q84" s="12">
        <v>46700</v>
      </c>
      <c r="S84" s="13">
        <f aca="true" t="shared" si="29" ref="S84:S90">IF(ISERROR(O84-Q84),0,O84-Q84)</f>
        <v>615696</v>
      </c>
      <c r="AC84" s="8" t="str">
        <f aca="true" t="shared" si="30" ref="AC84:AC90">B84</f>
        <v>2.2.1</v>
      </c>
      <c r="AD84" s="883" t="str">
        <f t="shared" si="28"/>
        <v>Educational Psychology Service</v>
      </c>
      <c r="AE84" s="883"/>
      <c r="AF84" s="883"/>
      <c r="AP84" s="452">
        <f aca="true" t="shared" si="31" ref="AP84:AP89">IF(AND(O84="",$H$1&lt;&gt;"*"),"",IF(AND(O84="",$H$1="*"),"Error 1.1",IF(ISNUMBER(O84)=FALSE,"Error 1.2",IF(O84&lt;0,"Error 1.3",IF((O84)-INT(O84)&lt;&gt;0,"Warning 2.2","")))))</f>
      </c>
      <c r="AR84" s="452">
        <f aca="true" t="shared" si="32" ref="AR84:AR89">IF(AND(Q84="",$H$1&lt;&gt;"*"),"",IF(AND(Q84="",$H$1="*"),"Error 1.1",IF(ISNUMBER(Q84)=FALSE,"Error 1.2",IF(Q84&lt;0,"Error 1.3",IF((Q84)-INT(Q84)&lt;&gt;0,"Warning 2.2","")))))</f>
      </c>
      <c r="AT84" s="452">
        <f aca="true" t="shared" si="33" ref="AT84:AT89">IF(AND(S84="",$H$1&lt;&gt;"*"),"",IF(AND(S84="",$H$1="*"),"Error 1.1",IF(ISNUMBER(S84)=FALSE,"Error 1.2",IF(S84&lt;0,"Error 1.3",IF((S84)-INT(S84)&lt;&gt;0,"Warning 2.2","")))))</f>
      </c>
      <c r="AU84" s="2">
        <f aca="true" t="shared" si="34" ref="AU84:AU90">IF(LEN(TRIM(AP84&amp;AR84&amp;AT84))&gt;0,1,0)</f>
        <v>0</v>
      </c>
    </row>
    <row r="85" spans="2:47" ht="12">
      <c r="B85" s="18" t="s">
        <v>165</v>
      </c>
      <c r="C85" s="887" t="s">
        <v>166</v>
      </c>
      <c r="D85" s="887"/>
      <c r="E85" s="887"/>
      <c r="F85" s="19"/>
      <c r="G85" s="11"/>
      <c r="O85" s="12">
        <v>183008</v>
      </c>
      <c r="Q85" s="12">
        <v>0</v>
      </c>
      <c r="S85" s="13">
        <f t="shared" si="29"/>
        <v>183008</v>
      </c>
      <c r="AC85" s="8" t="str">
        <f t="shared" si="30"/>
        <v>2.2.2</v>
      </c>
      <c r="AD85" s="883" t="str">
        <f t="shared" si="28"/>
        <v>SEN administration, assessment and co-ordination</v>
      </c>
      <c r="AE85" s="883"/>
      <c r="AF85" s="883"/>
      <c r="AP85" s="452">
        <f t="shared" si="31"/>
      </c>
      <c r="AR85" s="452">
        <f t="shared" si="32"/>
      </c>
      <c r="AT85" s="452">
        <f t="shared" si="33"/>
      </c>
      <c r="AU85" s="2">
        <f t="shared" si="34"/>
        <v>0</v>
      </c>
    </row>
    <row r="86" spans="2:47" ht="12">
      <c r="B86" s="18" t="s">
        <v>167</v>
      </c>
      <c r="C86" s="887" t="s">
        <v>168</v>
      </c>
      <c r="D86" s="887"/>
      <c r="E86" s="887"/>
      <c r="F86" s="19"/>
      <c r="G86" s="11"/>
      <c r="O86" s="12">
        <v>63008</v>
      </c>
      <c r="Q86" s="12">
        <v>0</v>
      </c>
      <c r="S86" s="13">
        <f t="shared" si="29"/>
        <v>63008</v>
      </c>
      <c r="AC86" s="8" t="str">
        <f t="shared" si="30"/>
        <v>2.2.3</v>
      </c>
      <c r="AD86" s="883" t="str">
        <f t="shared" si="28"/>
        <v>LEA functions in relation to child protection</v>
      </c>
      <c r="AE86" s="883"/>
      <c r="AF86" s="883"/>
      <c r="AP86" s="452">
        <f t="shared" si="31"/>
      </c>
      <c r="AR86" s="452">
        <f t="shared" si="32"/>
      </c>
      <c r="AT86" s="452">
        <f t="shared" si="33"/>
      </c>
      <c r="AU86" s="2">
        <f t="shared" si="34"/>
        <v>0</v>
      </c>
    </row>
    <row r="87" spans="2:47" ht="12">
      <c r="B87" s="18" t="s">
        <v>169</v>
      </c>
      <c r="C87" s="887" t="s">
        <v>170</v>
      </c>
      <c r="D87" s="887"/>
      <c r="E87" s="887"/>
      <c r="F87" s="19"/>
      <c r="G87" s="11"/>
      <c r="O87" s="12">
        <v>0</v>
      </c>
      <c r="Q87" s="12">
        <v>0</v>
      </c>
      <c r="S87" s="13">
        <f t="shared" si="29"/>
        <v>0</v>
      </c>
      <c r="AC87" s="8" t="str">
        <f t="shared" si="30"/>
        <v>2.2.4</v>
      </c>
      <c r="AD87" s="883" t="str">
        <f t="shared" si="28"/>
        <v>Therapies and other Health Related Services</v>
      </c>
      <c r="AE87" s="883"/>
      <c r="AF87" s="883"/>
      <c r="AP87" s="452">
        <f t="shared" si="31"/>
      </c>
      <c r="AR87" s="452">
        <f t="shared" si="32"/>
      </c>
      <c r="AT87" s="452">
        <f t="shared" si="33"/>
      </c>
      <c r="AU87" s="2">
        <f t="shared" si="34"/>
        <v>0</v>
      </c>
    </row>
    <row r="88" spans="2:47" ht="12">
      <c r="B88" s="18" t="s">
        <v>171</v>
      </c>
      <c r="C88" s="887" t="s">
        <v>172</v>
      </c>
      <c r="D88" s="887"/>
      <c r="E88" s="887"/>
      <c r="F88" s="19"/>
      <c r="G88" s="11"/>
      <c r="O88" s="12">
        <v>48587</v>
      </c>
      <c r="Q88" s="12">
        <v>0</v>
      </c>
      <c r="S88" s="13">
        <f t="shared" si="29"/>
        <v>48587</v>
      </c>
      <c r="AC88" s="8" t="str">
        <f t="shared" si="30"/>
        <v>2.2.5</v>
      </c>
      <c r="AD88" s="883" t="str">
        <f t="shared" si="28"/>
        <v>Parent partnership, guidance and information</v>
      </c>
      <c r="AE88" s="883"/>
      <c r="AF88" s="883"/>
      <c r="AP88" s="452">
        <f>IF(AND(O88="",$H$1&lt;&gt;"*"),"",IF(AND(O88="",$H$1="*"),"Error 1.1",IF(ISNUMBER(O88)=FALSE,"Error 1.2",IF(O88&lt;0,"Error 1.3",IF(O88=0,"Warning 2.3",IF((O88)-INT(O88)&lt;&gt;0,"Warning 2.2",""))))))</f>
      </c>
      <c r="AR88" s="452" t="str">
        <f>IF(AND(Q88="",$H$1&lt;&gt;"*"),"",IF(AND(Q88="",$H$1="*"),"Error 1.1",IF(ISNUMBER(Q88)=FALSE,"Error 1.2",IF(Q88&lt;0,"Error 1.3",IF(Q88=0,"Warning 2.3",IF((Q88)-INT(Q88)&lt;&gt;0,"Warning 2.2",""))))))</f>
        <v>Warning 2.3</v>
      </c>
      <c r="AT88" s="452">
        <f t="shared" si="33"/>
      </c>
      <c r="AU88" s="2">
        <f t="shared" si="34"/>
        <v>1</v>
      </c>
    </row>
    <row r="89" spans="2:47" ht="12.75" thickBot="1">
      <c r="B89" s="18" t="s">
        <v>173</v>
      </c>
      <c r="C89" s="887" t="s">
        <v>174</v>
      </c>
      <c r="D89" s="887"/>
      <c r="E89" s="887"/>
      <c r="F89" s="19"/>
      <c r="G89" s="11"/>
      <c r="O89" s="12">
        <v>89148</v>
      </c>
      <c r="Q89" s="12">
        <v>0</v>
      </c>
      <c r="S89" s="13">
        <f t="shared" si="29"/>
        <v>89148</v>
      </c>
      <c r="AC89" s="8" t="str">
        <f t="shared" si="30"/>
        <v>2.2.6</v>
      </c>
      <c r="AD89" s="883" t="str">
        <f t="shared" si="28"/>
        <v>Monitoring of SEN provision</v>
      </c>
      <c r="AE89" s="883"/>
      <c r="AF89" s="883"/>
      <c r="AP89" s="452">
        <f t="shared" si="31"/>
      </c>
      <c r="AR89" s="452">
        <f t="shared" si="32"/>
      </c>
      <c r="AT89" s="452">
        <f t="shared" si="33"/>
      </c>
      <c r="AU89" s="2">
        <f t="shared" si="34"/>
        <v>0</v>
      </c>
    </row>
    <row r="90" spans="2:47" ht="12.75" thickBot="1">
      <c r="B90" s="18" t="s">
        <v>175</v>
      </c>
      <c r="C90" s="886" t="s">
        <v>176</v>
      </c>
      <c r="D90" s="886"/>
      <c r="E90" s="886"/>
      <c r="F90" s="19"/>
      <c r="G90" s="11"/>
      <c r="O90" s="40">
        <f>SUM(O84:O89)</f>
        <v>1046147</v>
      </c>
      <c r="Q90" s="40">
        <f>SUM(Q84:Q89)</f>
        <v>46700</v>
      </c>
      <c r="S90" s="40">
        <f t="shared" si="29"/>
        <v>999447</v>
      </c>
      <c r="AC90" s="8" t="str">
        <f t="shared" si="30"/>
        <v>2.2.7</v>
      </c>
      <c r="AD90" s="501" t="str">
        <f t="shared" si="28"/>
        <v>Total Special Education</v>
      </c>
      <c r="AE90" s="501"/>
      <c r="AF90" s="501"/>
      <c r="AP90" s="470"/>
      <c r="AR90" s="470"/>
      <c r="AT90" s="471">
        <f>IF(AND(S90="",$H$1&lt;&gt;"*"),"",IF(AND(S90="",$H$1="*"),"Error 1.1",IF(ISNUMBER(S90)=FALSE,"Error 1.2",IF(S90&lt;0,"Error 1.3",IF((S90)-INT(S90)&lt;&gt;0,"Warning 2.2","")))))</f>
      </c>
      <c r="AU90" s="2">
        <f t="shared" si="34"/>
        <v>0</v>
      </c>
    </row>
    <row r="91" spans="2:7" ht="12">
      <c r="B91" s="18"/>
      <c r="C91" s="22"/>
      <c r="D91" s="22"/>
      <c r="E91" s="22"/>
      <c r="F91" s="19"/>
      <c r="G91" s="11"/>
    </row>
    <row r="92" spans="2:32" ht="12">
      <c r="B92" s="18"/>
      <c r="C92" s="499" t="s">
        <v>177</v>
      </c>
      <c r="D92" s="499"/>
      <c r="E92" s="499"/>
      <c r="F92" s="26"/>
      <c r="G92" s="11"/>
      <c r="AD92" s="501" t="str">
        <f>C92</f>
        <v>SCHOOL IMPROVEMENT</v>
      </c>
      <c r="AE92" s="501"/>
      <c r="AF92" s="501"/>
    </row>
    <row r="93" spans="2:47" ht="12.75" customHeight="1">
      <c r="B93" s="18" t="s">
        <v>178</v>
      </c>
      <c r="C93" s="880" t="s">
        <v>179</v>
      </c>
      <c r="D93" s="880"/>
      <c r="E93" s="880"/>
      <c r="F93" s="28"/>
      <c r="G93" s="11"/>
      <c r="O93" s="12">
        <v>1428833</v>
      </c>
      <c r="Q93" s="12">
        <v>0</v>
      </c>
      <c r="S93" s="13">
        <f>IF(ISERROR(O93-Q93),0,O93-Q93)</f>
        <v>1428833</v>
      </c>
      <c r="U93" s="13">
        <v>1423681</v>
      </c>
      <c r="V93" s="449" t="s">
        <v>822</v>
      </c>
      <c r="W93" s="450">
        <v>-0.2</v>
      </c>
      <c r="X93" s="451">
        <v>-200000</v>
      </c>
      <c r="Y93" s="450">
        <v>0.15</v>
      </c>
      <c r="Z93" s="451">
        <v>500000</v>
      </c>
      <c r="AC93" s="8" t="str">
        <f>B93</f>
        <v>2.3.1</v>
      </c>
      <c r="AD93" s="883" t="str">
        <f>C93</f>
        <v>School improvement</v>
      </c>
      <c r="AE93" s="883"/>
      <c r="AF93" s="883"/>
      <c r="AP93" s="452">
        <f>IF(AND(O93="",$H$1&lt;&gt;"*"),"",IF(AND(O93="",$H$1="*"),"Error 1.1",IF(ISNUMBER(O93)=FALSE,"Error 1.2",IF(O93&lt;0,"Error 1.3",IF((O93)-INT(O93)&lt;&gt;0,"Warning 2.2","")))))</f>
      </c>
      <c r="AR93" s="452">
        <f>IF(AND(Q93="",$H$1&lt;&gt;"*"),"",IF(AND(Q93="",$H$1="*"),"Error 1.1",IF(ISNUMBER(Q93)=FALSE,"Error 1.2",IF(Q93&lt;0,"Error 1.3",IF((Q93)-INT(Q93)&lt;&gt;0,"Warning 2.2","")))))</f>
      </c>
      <c r="AT93" s="452">
        <f>IF(AND(S93="",$H$1&lt;&gt;"*"),"",IF(AND(S93="",$H$1="*"),"Error 1.1",IF(ISNUMBER(S93)=FALSE,"Error 1.2",IF(S93&lt;0,"Error 1.3",IF(AND(U93&lt;&gt;0,U93&lt;&gt;"",OR(AND(S93&lt;U93+(U93*W93),S93-U93&lt;X93),AND(S93&gt;U93+(U93*Y93),S93-U93&gt;Z93))),"Warning 3.1",IF((S93)-INT(S93)&lt;&gt;0,"Warning 2.2",""))))))</f>
      </c>
      <c r="AU93" s="472">
        <f>IF(LEN(TRIM(AP93&amp;AR93&amp;AT93))&gt;0,1,0)</f>
        <v>0</v>
      </c>
    </row>
    <row r="94" spans="2:7" ht="12">
      <c r="B94" s="18"/>
      <c r="C94" s="22"/>
      <c r="D94" s="22"/>
      <c r="E94" s="22"/>
      <c r="F94" s="19"/>
      <c r="G94" s="11"/>
    </row>
    <row r="95" spans="2:32" ht="12">
      <c r="B95" s="18"/>
      <c r="C95" s="499" t="s">
        <v>180</v>
      </c>
      <c r="D95" s="499"/>
      <c r="E95" s="499"/>
      <c r="F95" s="26"/>
      <c r="G95" s="11"/>
      <c r="AD95" s="501" t="str">
        <f aca="true" t="shared" si="35" ref="AD95:AD109">C95</f>
        <v>ACCESS</v>
      </c>
      <c r="AE95" s="501"/>
      <c r="AF95" s="501"/>
    </row>
    <row r="96" spans="2:47" ht="12">
      <c r="B96" s="18" t="s">
        <v>181</v>
      </c>
      <c r="C96" s="887" t="s">
        <v>182</v>
      </c>
      <c r="D96" s="887"/>
      <c r="E96" s="887"/>
      <c r="F96" s="19"/>
      <c r="G96" s="11"/>
      <c r="O96" s="12">
        <v>326266</v>
      </c>
      <c r="Q96" s="12">
        <v>61570</v>
      </c>
      <c r="S96" s="13">
        <f aca="true" t="shared" si="36" ref="S96:S108">IF(ISERROR(O96-Q96),0,O96-Q96)</f>
        <v>264696</v>
      </c>
      <c r="AC96" s="8" t="str">
        <f aca="true" t="shared" si="37" ref="AC96:AC109">B96</f>
        <v>2.4.1</v>
      </c>
      <c r="AD96" s="883" t="str">
        <f t="shared" si="35"/>
        <v>Asset management</v>
      </c>
      <c r="AE96" s="883"/>
      <c r="AF96" s="883"/>
      <c r="AP96" s="452">
        <f>IF(AND(O96="",$H$1&lt;&gt;"*"),"",IF(AND(O96="",$H$1="*"),"Error 1.1",IF(ISNUMBER(O96)=FALSE,"Error 1.2",IF(O96&lt;0,"Error 1.3",IF((O96)-INT(O96)&lt;&gt;0,"Warning 2.2","")))))</f>
      </c>
      <c r="AR96" s="452">
        <f aca="true" t="shared" si="38" ref="AR96:AR108">IF(AND(Q96="",$H$1&lt;&gt;"*"),"",IF(AND(Q96="",$H$1="*"),"Error 1.1",IF(ISNUMBER(Q96)=FALSE,"Error 1.2",IF(Q96&lt;0,"Error 1.3",IF((Q96)-INT(Q96)&lt;&gt;0,"Warning 2.2","")))))</f>
      </c>
      <c r="AT96" s="452">
        <f aca="true" t="shared" si="39" ref="AT96:AT108">IF(AND(S96="",$H$1&lt;&gt;"*"),"",IF(AND(S96="",$H$1="*"),"Error 1.1",IF(ISNUMBER(S96)=FALSE,"Error 1.2",IF(S96&lt;0,"Error 1.3",IF((S96)-INT(S96)&lt;&gt;0,"Warning 2.2","")))))</f>
      </c>
      <c r="AU96" s="2">
        <f aca="true" t="shared" si="40" ref="AU96:AU113">IF(LEN(TRIM(AP96&amp;AR96&amp;AT96))&gt;0,1,0)</f>
        <v>0</v>
      </c>
    </row>
    <row r="97" spans="2:47" ht="12">
      <c r="B97" s="18" t="s">
        <v>183</v>
      </c>
      <c r="C97" s="887" t="s">
        <v>184</v>
      </c>
      <c r="D97" s="887"/>
      <c r="E97" s="887"/>
      <c r="F97" s="19"/>
      <c r="G97" s="11"/>
      <c r="O97" s="12">
        <v>106169</v>
      </c>
      <c r="Q97" s="12">
        <v>0</v>
      </c>
      <c r="S97" s="13">
        <f t="shared" si="36"/>
        <v>106169</v>
      </c>
      <c r="AC97" s="8" t="str">
        <f t="shared" si="37"/>
        <v>2.4.2</v>
      </c>
      <c r="AD97" s="883" t="str">
        <f t="shared" si="35"/>
        <v>Supply of school places</v>
      </c>
      <c r="AE97" s="883"/>
      <c r="AF97" s="883"/>
      <c r="AP97" s="452">
        <f>IF(AND(O97="",$H$1&lt;&gt;"*"),"",IF(AND(O97="",$H$1="*"),"Error 1.1",IF(ISNUMBER(O97)=FALSE,"Error 1.2",IF(O97&lt;0,"Error 1.3",IF((O97)-INT(O97)&lt;&gt;0,"Warning 2.2","")))))</f>
      </c>
      <c r="AR97" s="452">
        <f t="shared" si="38"/>
      </c>
      <c r="AT97" s="452">
        <f t="shared" si="39"/>
      </c>
      <c r="AU97" s="2">
        <f t="shared" si="40"/>
        <v>0</v>
      </c>
    </row>
    <row r="98" spans="2:47" ht="12">
      <c r="B98" s="18" t="s">
        <v>185</v>
      </c>
      <c r="C98" s="887" t="s">
        <v>186</v>
      </c>
      <c r="D98" s="887"/>
      <c r="E98" s="887"/>
      <c r="F98" s="19"/>
      <c r="G98" s="11"/>
      <c r="O98" s="12">
        <v>54615</v>
      </c>
      <c r="Q98" s="12">
        <v>0</v>
      </c>
      <c r="S98" s="13">
        <f t="shared" si="36"/>
        <v>54615</v>
      </c>
      <c r="AC98" s="8" t="str">
        <f t="shared" si="37"/>
        <v>2.4.3</v>
      </c>
      <c r="AD98" s="883" t="str">
        <f t="shared" si="35"/>
        <v>Excluded pupils</v>
      </c>
      <c r="AE98" s="883"/>
      <c r="AF98" s="883"/>
      <c r="AP98" s="452">
        <f>IF(AND(O98="",$H$1&lt;&gt;"*"),"",IF(AND(O98="",$H$1="*"),"Error 1.1",IF(ISNUMBER(O98)=FALSE,"Error 1.2",IF(O98&lt;0,"Error 1.3",IF((O98)-INT(O98)&lt;&gt;0,"Warning 2.2","")))))</f>
      </c>
      <c r="AR98" s="452">
        <f t="shared" si="38"/>
      </c>
      <c r="AT98" s="452">
        <f t="shared" si="39"/>
      </c>
      <c r="AU98" s="2">
        <f t="shared" si="40"/>
        <v>0</v>
      </c>
    </row>
    <row r="99" spans="2:47" ht="12">
      <c r="B99" s="18" t="s">
        <v>187</v>
      </c>
      <c r="C99" s="887" t="s">
        <v>188</v>
      </c>
      <c r="D99" s="887"/>
      <c r="E99" s="887"/>
      <c r="F99" s="19"/>
      <c r="G99" s="11"/>
      <c r="O99" s="12">
        <v>0</v>
      </c>
      <c r="Q99" s="12">
        <v>0</v>
      </c>
      <c r="S99" s="13">
        <f t="shared" si="36"/>
        <v>0</v>
      </c>
      <c r="AC99" s="8" t="str">
        <f t="shared" si="37"/>
        <v>2.4.4</v>
      </c>
      <c r="AD99" s="883" t="str">
        <f t="shared" si="35"/>
        <v>Behaviour support Plans</v>
      </c>
      <c r="AE99" s="883"/>
      <c r="AF99" s="883"/>
      <c r="AP99" s="452">
        <f>IF(AND(O99="",$H$1&lt;&gt;"*"),"",IF(AND(O99="",$H$1="*"),"Error 1.1",IF(ISNUMBER(O99)=FALSE,"Error 1.2",IF(O99&lt;0,"Error 1.3",IF((O99)-INT(O99)&lt;&gt;0,"Warning 2.2","")))))</f>
      </c>
      <c r="AR99" s="452">
        <f t="shared" si="38"/>
      </c>
      <c r="AT99" s="452">
        <f t="shared" si="39"/>
      </c>
      <c r="AU99" s="2">
        <f t="shared" si="40"/>
        <v>0</v>
      </c>
    </row>
    <row r="100" spans="2:47" ht="12">
      <c r="B100" s="18" t="s">
        <v>189</v>
      </c>
      <c r="C100" s="887" t="s">
        <v>190</v>
      </c>
      <c r="D100" s="887"/>
      <c r="E100" s="887"/>
      <c r="F100" s="19"/>
      <c r="G100" s="12">
        <v>0</v>
      </c>
      <c r="I100" s="12">
        <v>0</v>
      </c>
      <c r="K100" s="12">
        <v>0</v>
      </c>
      <c r="M100" s="12">
        <v>0</v>
      </c>
      <c r="O100" s="13">
        <f>SUM(G100:M100)</f>
        <v>0</v>
      </c>
      <c r="Q100" s="12">
        <v>0</v>
      </c>
      <c r="S100" s="13">
        <f t="shared" si="36"/>
        <v>0</v>
      </c>
      <c r="AC100" s="8" t="str">
        <f t="shared" si="37"/>
        <v>2.4.5</v>
      </c>
      <c r="AD100" s="883" t="str">
        <f t="shared" si="35"/>
        <v>Pupil support</v>
      </c>
      <c r="AE100" s="883"/>
      <c r="AF100" s="883"/>
      <c r="AH100" s="452">
        <f aca="true" t="shared" si="41" ref="AH100:AN102">IF(AND(G100="",$H$1&lt;&gt;"*"),"",IF(AND(G100="",$H$1="*"),"Error 1.1",IF(ISNUMBER(G100)=FALSE,"Error 1.2",IF(G100&lt;0,"Error 1.3",IF((G100)-INT(G100)&lt;&gt;0,"Warning 2.2","")))))</f>
      </c>
      <c r="AJ100" s="452">
        <f t="shared" si="41"/>
      </c>
      <c r="AL100" s="452">
        <f t="shared" si="41"/>
      </c>
      <c r="AN100" s="452">
        <f t="shared" si="41"/>
      </c>
      <c r="AP100" s="41"/>
      <c r="AR100" s="452">
        <f t="shared" si="38"/>
      </c>
      <c r="AT100" s="452">
        <f t="shared" si="39"/>
      </c>
      <c r="AU100" s="2">
        <f>IF(LEN(TRIM(AH100&amp;AJ100&amp;AL100&amp;AN100&amp;AP100&amp;AR100&amp;AT100))&gt;0,1,0)</f>
        <v>0</v>
      </c>
    </row>
    <row r="101" spans="2:47" ht="12">
      <c r="B101" s="18" t="s">
        <v>191</v>
      </c>
      <c r="C101" s="887" t="s">
        <v>192</v>
      </c>
      <c r="D101" s="887"/>
      <c r="E101" s="887"/>
      <c r="F101" s="19"/>
      <c r="G101" s="12">
        <v>0</v>
      </c>
      <c r="I101" s="12">
        <v>218715</v>
      </c>
      <c r="K101" s="12">
        <v>373931</v>
      </c>
      <c r="M101" s="12">
        <v>1452386</v>
      </c>
      <c r="O101" s="13">
        <f>SUM(G101:M101)</f>
        <v>2045032</v>
      </c>
      <c r="Q101" s="12">
        <v>0</v>
      </c>
      <c r="S101" s="13">
        <f t="shared" si="36"/>
        <v>2045032</v>
      </c>
      <c r="AC101" s="8" t="str">
        <f t="shared" si="37"/>
        <v>2.4.6</v>
      </c>
      <c r="AD101" s="883" t="str">
        <f t="shared" si="35"/>
        <v>Home to school transport: SEN transport expenditure</v>
      </c>
      <c r="AE101" s="883"/>
      <c r="AF101" s="883"/>
      <c r="AH101" s="452">
        <f t="shared" si="41"/>
      </c>
      <c r="AJ101" s="452">
        <f t="shared" si="41"/>
      </c>
      <c r="AL101" s="452">
        <f t="shared" si="41"/>
      </c>
      <c r="AN101" s="452">
        <f t="shared" si="41"/>
      </c>
      <c r="AP101" s="41"/>
      <c r="AR101" s="452">
        <f t="shared" si="38"/>
      </c>
      <c r="AT101" s="452">
        <f t="shared" si="39"/>
      </c>
      <c r="AU101" s="2">
        <f>IF(LEN(TRIM(AH101&amp;AJ101&amp;AL101&amp;AN101&amp;AP101&amp;AR101&amp;AT101))&gt;0,1,0)</f>
        <v>0</v>
      </c>
    </row>
    <row r="102" spans="2:47" ht="12">
      <c r="B102" s="18" t="s">
        <v>193</v>
      </c>
      <c r="C102" s="887" t="s">
        <v>194</v>
      </c>
      <c r="D102" s="887"/>
      <c r="E102" s="887"/>
      <c r="F102" s="19"/>
      <c r="G102" s="12">
        <v>0</v>
      </c>
      <c r="I102" s="12">
        <v>229546</v>
      </c>
      <c r="K102" s="12">
        <v>244556</v>
      </c>
      <c r="M102" s="12">
        <v>0</v>
      </c>
      <c r="O102" s="13">
        <f>SUM(G102:M102)</f>
        <v>474102</v>
      </c>
      <c r="Q102" s="12">
        <v>0</v>
      </c>
      <c r="S102" s="13">
        <f t="shared" si="36"/>
        <v>474102</v>
      </c>
      <c r="AC102" s="8" t="str">
        <f t="shared" si="37"/>
        <v>2.4.7</v>
      </c>
      <c r="AD102" s="883" t="str">
        <f t="shared" si="35"/>
        <v>Home to school transport: other home to school transport expenditure</v>
      </c>
      <c r="AE102" s="883"/>
      <c r="AF102" s="883"/>
      <c r="AH102" s="452">
        <f t="shared" si="41"/>
      </c>
      <c r="AJ102" s="452">
        <f t="shared" si="41"/>
      </c>
      <c r="AL102" s="452">
        <f t="shared" si="41"/>
      </c>
      <c r="AN102" s="452">
        <f t="shared" si="41"/>
      </c>
      <c r="AP102" s="41"/>
      <c r="AR102" s="452">
        <f t="shared" si="38"/>
      </c>
      <c r="AT102" s="452">
        <f t="shared" si="39"/>
      </c>
      <c r="AU102" s="2">
        <f>IF(LEN(TRIM(AH102&amp;AJ102&amp;AL102&amp;AN102&amp;AP102&amp;AR102&amp;AT102))&gt;0,1,0)</f>
        <v>0</v>
      </c>
    </row>
    <row r="103" spans="2:47" ht="12">
      <c r="B103" s="18" t="s">
        <v>195</v>
      </c>
      <c r="C103" s="887" t="s">
        <v>196</v>
      </c>
      <c r="D103" s="887"/>
      <c r="E103" s="887"/>
      <c r="F103" s="19"/>
      <c r="G103" s="11"/>
      <c r="O103" s="12">
        <v>46422</v>
      </c>
      <c r="Q103" s="12">
        <v>40485</v>
      </c>
      <c r="S103" s="13">
        <f t="shared" si="36"/>
        <v>5937</v>
      </c>
      <c r="AC103" s="8" t="str">
        <f t="shared" si="37"/>
        <v>2.4.8</v>
      </c>
      <c r="AD103" s="883" t="str">
        <f t="shared" si="35"/>
        <v>Home to college transport: SEN transport expenditure</v>
      </c>
      <c r="AE103" s="883"/>
      <c r="AF103" s="883"/>
      <c r="AP103" s="452">
        <f aca="true" t="shared" si="42" ref="AP103:AP108">IF(AND(O103="",$H$1&lt;&gt;"*"),"",IF(AND(O103="",$H$1="*"),"Error 1.1",IF(ISNUMBER(O103)=FALSE,"Error 1.2",IF(O103&lt;0,"Error 1.3",IF((O103)-INT(O103)&lt;&gt;0,"Warning 2.2","")))))</f>
      </c>
      <c r="AR103" s="452">
        <f t="shared" si="38"/>
      </c>
      <c r="AT103" s="452">
        <f t="shared" si="39"/>
      </c>
      <c r="AU103" s="2">
        <f t="shared" si="40"/>
        <v>0</v>
      </c>
    </row>
    <row r="104" spans="2:47" ht="12.75" customHeight="1">
      <c r="B104" s="18" t="s">
        <v>197</v>
      </c>
      <c r="C104" s="880" t="s">
        <v>198</v>
      </c>
      <c r="D104" s="880"/>
      <c r="E104" s="880"/>
      <c r="F104" s="28"/>
      <c r="G104" s="11"/>
      <c r="O104" s="12">
        <v>43257</v>
      </c>
      <c r="Q104" s="12">
        <v>37725</v>
      </c>
      <c r="S104" s="13">
        <f t="shared" si="36"/>
        <v>5532</v>
      </c>
      <c r="AC104" s="8" t="str">
        <f t="shared" si="37"/>
        <v>2.4.9</v>
      </c>
      <c r="AD104" s="883" t="str">
        <f t="shared" si="35"/>
        <v>Home to college transport: other home to college transport expenditure</v>
      </c>
      <c r="AE104" s="883"/>
      <c r="AF104" s="883"/>
      <c r="AP104" s="452">
        <f t="shared" si="42"/>
      </c>
      <c r="AR104" s="452">
        <f t="shared" si="38"/>
      </c>
      <c r="AT104" s="452">
        <f t="shared" si="39"/>
      </c>
      <c r="AU104" s="2">
        <f t="shared" si="40"/>
        <v>0</v>
      </c>
    </row>
    <row r="105" spans="2:47" ht="12">
      <c r="B105" s="18" t="s">
        <v>199</v>
      </c>
      <c r="C105" s="887" t="s">
        <v>200</v>
      </c>
      <c r="D105" s="887"/>
      <c r="E105" s="887"/>
      <c r="F105" s="19"/>
      <c r="G105" s="11"/>
      <c r="O105" s="12">
        <v>532491</v>
      </c>
      <c r="Q105" s="12">
        <v>12930</v>
      </c>
      <c r="S105" s="13">
        <f t="shared" si="36"/>
        <v>519561</v>
      </c>
      <c r="AC105" s="8" t="str">
        <f t="shared" si="37"/>
        <v>2.4.10</v>
      </c>
      <c r="AD105" s="883" t="str">
        <f t="shared" si="35"/>
        <v>Education Welfare Service</v>
      </c>
      <c r="AE105" s="883"/>
      <c r="AF105" s="883"/>
      <c r="AP105" s="452">
        <f t="shared" si="42"/>
      </c>
      <c r="AR105" s="452">
        <f t="shared" si="38"/>
      </c>
      <c r="AT105" s="452">
        <f t="shared" si="39"/>
      </c>
      <c r="AU105" s="2">
        <f t="shared" si="40"/>
        <v>0</v>
      </c>
    </row>
    <row r="106" spans="2:47" ht="12">
      <c r="B106" s="18" t="s">
        <v>201</v>
      </c>
      <c r="C106" s="887" t="s">
        <v>202</v>
      </c>
      <c r="D106" s="887"/>
      <c r="E106" s="887"/>
      <c r="F106" s="19"/>
      <c r="G106" s="11"/>
      <c r="O106" s="12">
        <v>755298</v>
      </c>
      <c r="Q106" s="12">
        <v>368450</v>
      </c>
      <c r="S106" s="13">
        <f t="shared" si="36"/>
        <v>386848</v>
      </c>
      <c r="AC106" s="8" t="str">
        <f t="shared" si="37"/>
        <v>2.4.11</v>
      </c>
      <c r="AD106" s="883" t="str">
        <f t="shared" si="35"/>
        <v>Music Service (not Standards Fund supported)</v>
      </c>
      <c r="AE106" s="883"/>
      <c r="AF106" s="883"/>
      <c r="AP106" s="452">
        <f t="shared" si="42"/>
      </c>
      <c r="AR106" s="452">
        <f t="shared" si="38"/>
      </c>
      <c r="AT106" s="452">
        <f t="shared" si="39"/>
      </c>
      <c r="AU106" s="2">
        <f t="shared" si="40"/>
        <v>0</v>
      </c>
    </row>
    <row r="107" spans="2:47" ht="12">
      <c r="B107" s="18" t="s">
        <v>203</v>
      </c>
      <c r="C107" s="887" t="s">
        <v>204</v>
      </c>
      <c r="D107" s="887"/>
      <c r="E107" s="887"/>
      <c r="F107" s="19"/>
      <c r="G107" s="11"/>
      <c r="O107" s="12">
        <v>0</v>
      </c>
      <c r="Q107" s="12">
        <v>0</v>
      </c>
      <c r="S107" s="13">
        <f t="shared" si="36"/>
        <v>0</v>
      </c>
      <c r="AC107" s="8" t="str">
        <f t="shared" si="37"/>
        <v>2.4.12</v>
      </c>
      <c r="AD107" s="883" t="str">
        <f t="shared" si="35"/>
        <v>Visual and Performing Arts (other than music)</v>
      </c>
      <c r="AE107" s="883"/>
      <c r="AF107" s="883"/>
      <c r="AP107" s="452">
        <f t="shared" si="42"/>
      </c>
      <c r="AR107" s="452">
        <f t="shared" si="38"/>
      </c>
      <c r="AT107" s="452">
        <f t="shared" si="39"/>
      </c>
      <c r="AU107" s="2">
        <f t="shared" si="40"/>
        <v>0</v>
      </c>
    </row>
    <row r="108" spans="2:47" ht="12.75" thickBot="1">
      <c r="B108" s="18" t="s">
        <v>205</v>
      </c>
      <c r="C108" s="887" t="s">
        <v>206</v>
      </c>
      <c r="D108" s="887"/>
      <c r="E108" s="887"/>
      <c r="F108" s="19"/>
      <c r="G108" s="11"/>
      <c r="O108" s="12">
        <v>44961</v>
      </c>
      <c r="Q108" s="12">
        <v>0</v>
      </c>
      <c r="S108" s="13">
        <f t="shared" si="36"/>
        <v>44961</v>
      </c>
      <c r="AC108" s="8" t="str">
        <f t="shared" si="37"/>
        <v>2.4.13</v>
      </c>
      <c r="AD108" s="883" t="str">
        <f t="shared" si="35"/>
        <v>Outdoor Education including Environmental and Field Studies (not sports)</v>
      </c>
      <c r="AE108" s="883"/>
      <c r="AF108" s="883"/>
      <c r="AP108" s="452">
        <f t="shared" si="42"/>
      </c>
      <c r="AR108" s="452">
        <f t="shared" si="38"/>
      </c>
      <c r="AT108" s="469">
        <f t="shared" si="39"/>
      </c>
      <c r="AU108" s="2">
        <f t="shared" si="40"/>
        <v>0</v>
      </c>
    </row>
    <row r="109" spans="2:47" ht="12.75" thickBot="1">
      <c r="B109" s="18" t="s">
        <v>207</v>
      </c>
      <c r="C109" s="886" t="s">
        <v>208</v>
      </c>
      <c r="D109" s="886"/>
      <c r="E109" s="886"/>
      <c r="F109" s="19"/>
      <c r="G109" s="11"/>
      <c r="O109" s="40">
        <f>SUM(O96:O108)</f>
        <v>4428613</v>
      </c>
      <c r="Q109" s="40">
        <f>SUM(Q96:Q108)</f>
        <v>521160</v>
      </c>
      <c r="S109" s="40">
        <f>IF(ISERROR(O109-Q109),0,O109-Q109)</f>
        <v>3907453</v>
      </c>
      <c r="U109" s="13">
        <v>3927968</v>
      </c>
      <c r="V109" s="449" t="s">
        <v>822</v>
      </c>
      <c r="W109" s="450">
        <v>-0.2</v>
      </c>
      <c r="X109" s="451">
        <v>-200000</v>
      </c>
      <c r="Y109" s="450">
        <v>0.15</v>
      </c>
      <c r="Z109" s="451">
        <v>500000</v>
      </c>
      <c r="AC109" s="8" t="str">
        <f t="shared" si="37"/>
        <v>2.4.14</v>
      </c>
      <c r="AD109" s="501" t="str">
        <f t="shared" si="35"/>
        <v>Total Access</v>
      </c>
      <c r="AE109" s="501"/>
      <c r="AF109" s="501"/>
      <c r="AP109" s="470"/>
      <c r="AR109" s="470"/>
      <c r="AT109" s="471">
        <f>IF(AND(S109="",$H$1&lt;&gt;"*"),"",IF(AND(S109="",$H$1="*"),"Error 1.1",IF(ISNUMBER(S109)=FALSE,"Error 1.2",IF(S109&lt;0,"Error 1.3",IF(AND(U109&lt;&gt;0,U109&lt;&gt;"",OR(AND(S109&lt;U109+(U109*W109),S109-U109&lt;X109),AND(S109&gt;U109+(U109*Y109),S109-U109&gt;Z109))),"Warning 3.1",IF((S109)-INT(S109)&lt;&gt;0,"Warning 2.2",""))))))</f>
      </c>
      <c r="AU109" s="472">
        <f t="shared" si="40"/>
        <v>0</v>
      </c>
    </row>
    <row r="110" spans="2:7" ht="12">
      <c r="B110" s="30"/>
      <c r="C110" s="22" t="s">
        <v>209</v>
      </c>
      <c r="D110" s="22"/>
      <c r="E110" s="22"/>
      <c r="F110" s="19"/>
      <c r="G110" s="11"/>
    </row>
    <row r="111" spans="2:47" ht="12">
      <c r="B111" s="18" t="s">
        <v>210</v>
      </c>
      <c r="C111" s="887" t="s">
        <v>211</v>
      </c>
      <c r="D111" s="887"/>
      <c r="E111" s="887"/>
      <c r="F111" s="19"/>
      <c r="G111" s="11"/>
      <c r="O111" s="12">
        <v>0</v>
      </c>
      <c r="Q111" s="12">
        <v>0</v>
      </c>
      <c r="S111" s="13">
        <f>IF(ISERROR(O111-Q111),0,O111-Q111)</f>
        <v>0</v>
      </c>
      <c r="AC111" s="8" t="str">
        <f>B111</f>
        <v>2.5.1</v>
      </c>
      <c r="AD111" s="883" t="str">
        <f>C111</f>
        <v>Capital Expenditure from Revenue (CERA) (LEA Central Functions)</v>
      </c>
      <c r="AE111" s="883"/>
      <c r="AF111" s="883"/>
      <c r="AP111" s="452">
        <f>IF(AND(O111="",$H$1&lt;&gt;"*"),"",IF(AND(O111="",$H$1="*"),"Error 1.1",IF(ISNUMBER(O111)=FALSE,"Error 1.2",IF(O111&lt;0,"Error 1.3",IF((O111)-INT(O111)&lt;&gt;0,"Warning 2.2","")))))</f>
      </c>
      <c r="AR111" s="452">
        <f>IF(AND(Q111="",$H$1&lt;&gt;"*"),"",IF(AND(Q111="",$H$1="*"),"Error 1.1",IF(ISNUMBER(Q111)=FALSE,"Error 1.2",IF(Q111&lt;0,"Error 1.3",IF((Q111)-INT(Q111)&lt;&gt;0,"Warning 2.2","")))))</f>
      </c>
      <c r="AT111" s="452">
        <f>IF(AND(S111="",$H$1&lt;&gt;"*"),"",IF(AND(S111="",$H$1="*"),"Error 1.1",IF(ISNUMBER(S111)=FALSE,"Error 1.2",IF(S111&lt;0,"Error 1.3",IF((S111)-INT(S111)&lt;&gt;0,"Warning 2.2","")))))</f>
      </c>
      <c r="AU111" s="2">
        <f t="shared" si="40"/>
        <v>0</v>
      </c>
    </row>
    <row r="112" spans="2:7" ht="12.75" thickBot="1">
      <c r="B112" s="18"/>
      <c r="C112" s="22"/>
      <c r="D112" s="22"/>
      <c r="E112" s="22"/>
      <c r="F112" s="19"/>
      <c r="G112" s="11"/>
    </row>
    <row r="113" spans="2:47" ht="12.75" thickBot="1">
      <c r="B113" s="18" t="s">
        <v>212</v>
      </c>
      <c r="C113" s="886" t="s">
        <v>213</v>
      </c>
      <c r="D113" s="886"/>
      <c r="E113" s="886"/>
      <c r="F113" s="19"/>
      <c r="G113" s="11"/>
      <c r="O113" s="40">
        <f>SUM(O75,O81,O90,O93,O109,O111)</f>
        <v>13035981</v>
      </c>
      <c r="Q113" s="40">
        <f>SUM(Q75,Q81,Q90,Q93,Q109,Q111)</f>
        <v>2016650</v>
      </c>
      <c r="S113" s="40">
        <f>IF(ISERROR(O113-Q113),0,O113-Q113)</f>
        <v>11019331</v>
      </c>
      <c r="AC113" s="8" t="str">
        <f>B113</f>
        <v>2.6.1</v>
      </c>
      <c r="AD113" s="501" t="str">
        <f>C113</f>
        <v>Total LEA Central Functions  </v>
      </c>
      <c r="AE113" s="501"/>
      <c r="AF113" s="501"/>
      <c r="AP113" s="470"/>
      <c r="AR113" s="470"/>
      <c r="AT113" s="471">
        <f>IF(AND(S113="",$H$1&lt;&gt;"*"),"",IF(AND(S113="",$H$1="*"),"Error 1.1",IF(ISNUMBER(S113)=FALSE,"Error 1.2",IF(S113&lt;0,"Error 1.3",IF((S113)-INT(S113)&lt;&gt;0,"Warning 2.2","")))))</f>
      </c>
      <c r="AU113" s="2">
        <f t="shared" si="40"/>
        <v>0</v>
      </c>
    </row>
    <row r="114" spans="2:7" ht="12">
      <c r="B114" s="18"/>
      <c r="C114" s="22"/>
      <c r="D114" s="22"/>
      <c r="E114" s="22"/>
      <c r="F114" s="19"/>
      <c r="G114" s="11"/>
    </row>
    <row r="115" spans="2:32" ht="12">
      <c r="B115" s="22"/>
      <c r="C115" s="499" t="s">
        <v>214</v>
      </c>
      <c r="D115" s="499"/>
      <c r="E115" s="499"/>
      <c r="F115" s="19"/>
      <c r="G115" s="11"/>
      <c r="AD115" s="501" t="str">
        <f aca="true" t="shared" si="43" ref="AD115:AD122">C115</f>
        <v>YOUTH AND COMMUNITY</v>
      </c>
      <c r="AE115" s="501"/>
      <c r="AF115" s="501"/>
    </row>
    <row r="116" spans="2:47" ht="12">
      <c r="B116" s="18" t="s">
        <v>215</v>
      </c>
      <c r="C116" s="887" t="s">
        <v>216</v>
      </c>
      <c r="D116" s="887"/>
      <c r="E116" s="887"/>
      <c r="F116" s="19"/>
      <c r="G116" s="11"/>
      <c r="O116" s="12">
        <v>1336163</v>
      </c>
      <c r="Q116" s="12">
        <v>246640</v>
      </c>
      <c r="S116" s="13">
        <f aca="true" t="shared" si="44" ref="S116:S121">IF(ISERROR(O116-Q116),0,O116-Q116)</f>
        <v>1089523</v>
      </c>
      <c r="AC116" s="8" t="str">
        <f aca="true" t="shared" si="45" ref="AC116:AC122">B116</f>
        <v>2.7.1</v>
      </c>
      <c r="AD116" s="883" t="str">
        <f t="shared" si="43"/>
        <v>Youth Service</v>
      </c>
      <c r="AE116" s="883"/>
      <c r="AF116" s="883"/>
      <c r="AP116" s="452">
        <f aca="true" t="shared" si="46" ref="AP116:AP121">IF(AND(O116="",$H$1&lt;&gt;"*"),"",IF(AND(O116="",$H$1="*"),"Error 1.1",IF(ISNUMBER(O116)=FALSE,"Error 1.2",IF(O116&lt;0,"Error 1.3",IF((O116)-INT(O116)&lt;&gt;0,"Warning 2.2","")))))</f>
      </c>
      <c r="AR116" s="452">
        <f aca="true" t="shared" si="47" ref="AR116:AR121">IF(AND(Q116="",$H$1&lt;&gt;"*"),"",IF(AND(Q116="",$H$1="*"),"Error 1.1",IF(ISNUMBER(Q116)=FALSE,"Error 1.2",IF(Q116&lt;0,"Error 1.3",IF((Q116)-INT(Q116)&lt;&gt;0,"Warning 2.2","")))))</f>
      </c>
      <c r="AT116" s="452" t="s">
        <v>33</v>
      </c>
      <c r="AU116" s="2">
        <f aca="true" t="shared" si="48" ref="AU116:AU122">IF(LEN(TRIM(AP116&amp;AR116&amp;AT116))&gt;0,1,0)</f>
        <v>0</v>
      </c>
    </row>
    <row r="117" spans="2:47" ht="12">
      <c r="B117" s="18" t="s">
        <v>217</v>
      </c>
      <c r="C117" s="887" t="s">
        <v>218</v>
      </c>
      <c r="D117" s="887"/>
      <c r="E117" s="887"/>
      <c r="F117" s="19"/>
      <c r="G117" s="11"/>
      <c r="O117" s="12">
        <v>622025</v>
      </c>
      <c r="Q117" s="12">
        <v>409800</v>
      </c>
      <c r="S117" s="13">
        <f t="shared" si="44"/>
        <v>212225</v>
      </c>
      <c r="AC117" s="8" t="str">
        <f t="shared" si="45"/>
        <v>2.7.2</v>
      </c>
      <c r="AD117" s="883" t="str">
        <f t="shared" si="43"/>
        <v>Adult and Community learning</v>
      </c>
      <c r="AE117" s="883"/>
      <c r="AF117" s="883"/>
      <c r="AP117" s="452">
        <f t="shared" si="46"/>
      </c>
      <c r="AR117" s="452">
        <f t="shared" si="47"/>
      </c>
      <c r="AT117" s="452">
        <f>IF(AND(S117="",$H$1&lt;&gt;"*"),"",IF(AND(S117="",$H$1="*"),"Error 1.1",IF(ISNUMBER(S117)=FALSE,"Error 1.2",IF(S117&lt;0,"Error 1.3",IF((S117)-INT(S117)&lt;&gt;0,"Warning 2.2","")))))</f>
      </c>
      <c r="AU117" s="2">
        <f t="shared" si="48"/>
        <v>0</v>
      </c>
    </row>
    <row r="118" spans="2:47" ht="12">
      <c r="B118" s="18" t="s">
        <v>219</v>
      </c>
      <c r="C118" s="887" t="s">
        <v>220</v>
      </c>
      <c r="D118" s="887"/>
      <c r="E118" s="887"/>
      <c r="F118" s="19"/>
      <c r="G118" s="11"/>
      <c r="O118" s="12">
        <v>0</v>
      </c>
      <c r="Q118" s="12">
        <v>0</v>
      </c>
      <c r="S118" s="13">
        <f t="shared" si="44"/>
        <v>0</v>
      </c>
      <c r="AC118" s="8" t="str">
        <f t="shared" si="45"/>
        <v>2.7.3</v>
      </c>
      <c r="AD118" s="883" t="str">
        <f t="shared" si="43"/>
        <v>Mandatory Awards</v>
      </c>
      <c r="AE118" s="883"/>
      <c r="AF118" s="883"/>
      <c r="AP118" s="452">
        <f t="shared" si="46"/>
      </c>
      <c r="AR118" s="452">
        <f t="shared" si="47"/>
      </c>
      <c r="AT118" s="452">
        <f>IF(AND(S118="",$H$1&lt;&gt;"*"),"",IF(AND(S118="",$H$1="*"),"Error 1.1",IF(ISNUMBER(S118)=FALSE,"Error 1.2",IF(S118&lt;0,"Error 1.3",IF((S118)-INT(S118)&lt;&gt;0,"Warning 2.2","")))))</f>
      </c>
      <c r="AU118" s="2">
        <f t="shared" si="48"/>
        <v>0</v>
      </c>
    </row>
    <row r="119" spans="2:47" ht="12">
      <c r="B119" s="18" t="s">
        <v>221</v>
      </c>
      <c r="C119" s="887" t="s">
        <v>222</v>
      </c>
      <c r="D119" s="887"/>
      <c r="E119" s="887"/>
      <c r="F119" s="19"/>
      <c r="G119" s="11"/>
      <c r="O119" s="12">
        <v>108360</v>
      </c>
      <c r="Q119" s="12">
        <v>0</v>
      </c>
      <c r="S119" s="13">
        <f t="shared" si="44"/>
        <v>108360</v>
      </c>
      <c r="AC119" s="8" t="str">
        <f t="shared" si="45"/>
        <v>2.7.4</v>
      </c>
      <c r="AD119" s="883" t="str">
        <f t="shared" si="43"/>
        <v>Student Support under new arrangements</v>
      </c>
      <c r="AE119" s="883"/>
      <c r="AF119" s="883"/>
      <c r="AP119" s="452">
        <f t="shared" si="46"/>
      </c>
      <c r="AR119" s="452">
        <f t="shared" si="47"/>
      </c>
      <c r="AT119" s="452">
        <f>IF(AND(S119="",$H$1&lt;&gt;"*"),"",IF(AND(S119="",$H$1="*"),"Error 1.1",IF(ISNUMBER(S119)=FALSE,"Error 1.2",IF(S119&lt;0,"Error 1.3",IF((S119)-INT(S119)&lt;&gt;0,"Warning 2.2","")))))</f>
      </c>
      <c r="AU119" s="2">
        <f t="shared" si="48"/>
        <v>0</v>
      </c>
    </row>
    <row r="120" spans="2:47" ht="12">
      <c r="B120" s="18" t="s">
        <v>223</v>
      </c>
      <c r="C120" s="887" t="s">
        <v>224</v>
      </c>
      <c r="D120" s="887"/>
      <c r="E120" s="887"/>
      <c r="F120" s="19"/>
      <c r="G120" s="11"/>
      <c r="O120" s="12">
        <v>0</v>
      </c>
      <c r="Q120" s="12">
        <v>0</v>
      </c>
      <c r="S120" s="13">
        <f t="shared" si="44"/>
        <v>0</v>
      </c>
      <c r="AC120" s="8" t="str">
        <f t="shared" si="45"/>
        <v>2.7.5</v>
      </c>
      <c r="AD120" s="883" t="str">
        <f t="shared" si="43"/>
        <v>Discretionary Awards</v>
      </c>
      <c r="AE120" s="883"/>
      <c r="AF120" s="883"/>
      <c r="AP120" s="452">
        <f t="shared" si="46"/>
      </c>
      <c r="AR120" s="452">
        <f t="shared" si="47"/>
      </c>
      <c r="AT120" s="452">
        <f>IF(AND(S120="",$H$1&lt;&gt;"*"),"",IF(AND(S120="",$H$1="*"),"Error 1.1",IF(ISNUMBER(S120)=FALSE,"Error 1.2",IF(S120&lt;0,"Error 1.3",IF((S120)-INT(S120)&lt;&gt;0,"Warning 2.2","")))))</f>
      </c>
      <c r="AU120" s="2">
        <f t="shared" si="48"/>
        <v>0</v>
      </c>
    </row>
    <row r="121" spans="2:47" ht="12.75" thickBot="1">
      <c r="B121" s="18" t="s">
        <v>225</v>
      </c>
      <c r="C121" s="887" t="s">
        <v>226</v>
      </c>
      <c r="D121" s="887"/>
      <c r="E121" s="887"/>
      <c r="F121" s="19"/>
      <c r="G121" s="11"/>
      <c r="O121" s="12">
        <v>18160</v>
      </c>
      <c r="Q121" s="12">
        <v>0</v>
      </c>
      <c r="S121" s="13">
        <f t="shared" si="44"/>
        <v>18160</v>
      </c>
      <c r="AC121" s="8" t="str">
        <f t="shared" si="45"/>
        <v>2.7.6</v>
      </c>
      <c r="AD121" s="883" t="str">
        <f t="shared" si="43"/>
        <v>Capital Expenditure from Revenue (CERA) (Youth &amp; Community)</v>
      </c>
      <c r="AE121" s="883"/>
      <c r="AF121" s="883"/>
      <c r="AP121" s="452">
        <f t="shared" si="46"/>
      </c>
      <c r="AR121" s="452">
        <f t="shared" si="47"/>
      </c>
      <c r="AT121" s="452" t="s">
        <v>33</v>
      </c>
      <c r="AU121" s="2">
        <f t="shared" si="48"/>
        <v>0</v>
      </c>
    </row>
    <row r="122" spans="2:47" ht="12.75" thickBot="1">
      <c r="B122" s="18" t="s">
        <v>227</v>
      </c>
      <c r="C122" s="888" t="s">
        <v>228</v>
      </c>
      <c r="D122" s="888"/>
      <c r="E122" s="888"/>
      <c r="F122" s="26"/>
      <c r="G122" s="11"/>
      <c r="O122" s="40">
        <f>SUM(O116:O121)</f>
        <v>2084708</v>
      </c>
      <c r="Q122" s="40">
        <f>SUM(Q116:Q121)</f>
        <v>656440</v>
      </c>
      <c r="S122" s="40">
        <f>IF(ISERROR(O122-Q122),0,O122-Q122)</f>
        <v>1428268</v>
      </c>
      <c r="U122" s="13">
        <v>1414745</v>
      </c>
      <c r="V122" s="449" t="s">
        <v>822</v>
      </c>
      <c r="W122" s="450">
        <v>-0.2</v>
      </c>
      <c r="X122" s="451">
        <v>-200000</v>
      </c>
      <c r="Y122" s="450">
        <v>0.15</v>
      </c>
      <c r="Z122" s="451">
        <v>500000</v>
      </c>
      <c r="AC122" s="8" t="str">
        <f t="shared" si="45"/>
        <v>2.7.7</v>
      </c>
      <c r="AD122" s="501" t="str">
        <f t="shared" si="43"/>
        <v>Total Youth and Community</v>
      </c>
      <c r="AE122" s="501"/>
      <c r="AF122" s="501"/>
      <c r="AP122" s="470"/>
      <c r="AR122" s="470"/>
      <c r="AT122" s="471">
        <f>IF(AND(S122="",$H$1&lt;&gt;"*"),"",IF(AND(S122="",$H$1="*"),"Error 1.1",IF(ISNUMBER(S122)=FALSE,"Error 1.2",IF(S122&lt;0,"Error 1.3",IF(AND(U122&lt;&gt;0,U122&lt;&gt;"",OR(AND(S122&lt;U122+(U122*W122),S122-U122&lt;X122),AND(S122&gt;U122+(U122*Y122),S122-U122&gt;Z122))),"Warning 3.1",IF((S122)-INT(S122)&lt;&gt;0,"Warning 2.2",""))))))</f>
      </c>
      <c r="AU122" s="2">
        <f t="shared" si="48"/>
        <v>0</v>
      </c>
    </row>
    <row r="123" spans="2:7" ht="12.75" thickBot="1">
      <c r="B123" s="18"/>
      <c r="C123" s="22"/>
      <c r="D123" s="22"/>
      <c r="E123" s="22"/>
      <c r="F123" s="19"/>
      <c r="G123" s="11"/>
    </row>
    <row r="124" spans="2:47" ht="12.75" thickBot="1">
      <c r="B124" s="18" t="s">
        <v>229</v>
      </c>
      <c r="C124" s="886" t="s">
        <v>230</v>
      </c>
      <c r="D124" s="886"/>
      <c r="E124" s="886"/>
      <c r="F124" s="26"/>
      <c r="G124" s="11"/>
      <c r="O124" s="40">
        <f>SUM(O113,O122)</f>
        <v>15120689</v>
      </c>
      <c r="Q124" s="40">
        <f>SUM(Q113,Q122)</f>
        <v>2673090</v>
      </c>
      <c r="S124" s="40">
        <f>IF(ISERROR(O124-Q124),0,O124-Q124)</f>
        <v>12447599</v>
      </c>
      <c r="AC124" s="8" t="str">
        <f>B124</f>
        <v>2.8.1</v>
      </c>
      <c r="AD124" s="501" t="str">
        <f>C124</f>
        <v>TOTAL LEA BUDGET  </v>
      </c>
      <c r="AE124" s="501"/>
      <c r="AF124" s="501"/>
      <c r="AP124" s="470"/>
      <c r="AR124" s="470"/>
      <c r="AT124" s="471">
        <f>IF(AND(S124="",$H$1&lt;&gt;"*"),"",IF(AND(S124="",$H$1="*"),"Error 1.1",IF(ISNUMBER(S124)=FALSE,"Error 1.2",IF(S124&lt;=0,"Error 1.4",IF((S124)-INT(S124)&lt;&gt;0,"Warning 2.2","")))))</f>
      </c>
      <c r="AU124" s="2">
        <f>IF(LEN(TRIM(AP124&amp;AR124&amp;AT124))&gt;0,1,0)</f>
        <v>0</v>
      </c>
    </row>
    <row r="125" spans="2:7" ht="12.75" thickBot="1">
      <c r="B125" s="18"/>
      <c r="C125" s="22"/>
      <c r="D125" s="22"/>
      <c r="E125" s="22"/>
      <c r="F125" s="19"/>
      <c r="G125" s="11"/>
    </row>
    <row r="126" spans="2:47" ht="13.5" thickBot="1" thickTop="1">
      <c r="B126" s="34">
        <v>3</v>
      </c>
      <c r="C126" s="886" t="s">
        <v>231</v>
      </c>
      <c r="D126" s="886"/>
      <c r="E126" s="886"/>
      <c r="F126" s="19"/>
      <c r="G126" s="11"/>
      <c r="O126" s="32">
        <f>SUM(O63,O124)</f>
        <v>151243553</v>
      </c>
      <c r="Q126" s="32">
        <f>SUM(Q63,Q124)</f>
        <v>21714671</v>
      </c>
      <c r="S126" s="32">
        <f>IF(ISERROR(O126-Q126),0,O126-Q126)</f>
        <v>129528882</v>
      </c>
      <c r="AC126" s="8">
        <f>B126</f>
        <v>3</v>
      </c>
      <c r="AD126" s="501" t="str">
        <f>C126</f>
        <v>TOTAL EDUCATION REVENUE EXPENDITURE</v>
      </c>
      <c r="AE126" s="501"/>
      <c r="AF126" s="501"/>
      <c r="AP126" s="467"/>
      <c r="AR126" s="467"/>
      <c r="AT126" s="468">
        <f>IF(AND(S126="",$H$1&lt;&gt;"*"),"",IF(AND(S126="",$H$1="*"),"Error 1.1",IF(ISNUMBER(S126)=FALSE,"Error 1.2",IF(S126&lt;=0,"Error 1.4",IF((S126)-INT(S126)&lt;&gt;0,"Warning 2.2","")))))</f>
      </c>
      <c r="AU126" s="2">
        <f>IF(LEN(TRIM(AP126&amp;AR126&amp;AT126))&gt;0,1,0)</f>
        <v>0</v>
      </c>
    </row>
    <row r="127" spans="2:32" ht="13.5" thickTop="1">
      <c r="B127" s="18"/>
      <c r="C127" s="35"/>
      <c r="D127" s="22"/>
      <c r="E127" s="22"/>
      <c r="F127" s="19"/>
      <c r="G127" s="11"/>
      <c r="AC127" s="454"/>
      <c r="AD127" s="455"/>
      <c r="AE127" s="473"/>
      <c r="AF127" s="473"/>
    </row>
    <row r="128" spans="2:47" ht="12">
      <c r="B128" s="34">
        <v>4</v>
      </c>
      <c r="C128" s="884" t="s">
        <v>232</v>
      </c>
      <c r="D128" s="885"/>
      <c r="E128" s="885"/>
      <c r="F128" s="42"/>
      <c r="G128" s="12">
        <v>7000</v>
      </c>
      <c r="I128" s="12">
        <v>7784000</v>
      </c>
      <c r="K128" s="12">
        <f>9045000+100000+258400</f>
        <v>9403400</v>
      </c>
      <c r="M128" s="12">
        <v>1676000</v>
      </c>
      <c r="O128" s="13">
        <f>SUM(G128:M128)</f>
        <v>18870400</v>
      </c>
      <c r="Q128" s="12">
        <f>11548000+100000+358400</f>
        <v>12006400</v>
      </c>
      <c r="S128" s="13">
        <f>IF(ISERROR(O128-Q128),0,O128-Q128)</f>
        <v>6864000</v>
      </c>
      <c r="AC128" s="8">
        <f>B128</f>
        <v>4</v>
      </c>
      <c r="AD128" s="883" t="str">
        <f>C128</f>
        <v>CAPITAL EXPENDITURE (excl. CERA)</v>
      </c>
      <c r="AE128" s="883"/>
      <c r="AF128" s="883"/>
      <c r="AH128" s="452">
        <f aca="true" t="shared" si="49" ref="AH128:AN128">IF(AND(G128="",$H$1&lt;&gt;"*"),"",IF(AND(G128="",$H$1="*"),"Error 1.1",IF(ISNUMBER(G128)=FALSE,"Error 1.2",IF(G128&lt;0,"Error 1.3",IF((G128)-INT(G128)&lt;&gt;0,"Warning 2.2","")))))</f>
      </c>
      <c r="AJ128" s="452">
        <f t="shared" si="49"/>
      </c>
      <c r="AL128" s="452">
        <f t="shared" si="49"/>
      </c>
      <c r="AN128" s="452">
        <f t="shared" si="49"/>
      </c>
      <c r="AP128" s="41"/>
      <c r="AR128" s="452">
        <f>IF(AND(Q128="",$H$1&lt;&gt;"*"),"",IF(AND(Q128="",$H$1="*"),"Error 1.1",IF(ISNUMBER(Q128)=FALSE,"Error 1.2",IF(Q128&lt;0,"Error 1.3",IF((Q128)-INT(Q128)&lt;&gt;0,"Warning 2.2","")))))</f>
      </c>
      <c r="AT128" s="452">
        <f>IF(AND(S128="",$H$1&lt;&gt;"*"),"",IF(AND(S128="",$H$1="*"),"Error 1.1",IF(ISNUMBER(S128)=FALSE,"Error 1.2",IF(S128&lt;0,"Error 1.3",IF((S128)-INT(S128)&lt;&gt;0,"Warning 2.2","")))))</f>
      </c>
      <c r="AU128" s="2">
        <f>IF(LEN(TRIM(AH128&amp;AJ128&amp;AL128&amp;AN128&amp;AP128&amp;AR128&amp;AT128))&gt;0,1,0)</f>
        <v>0</v>
      </c>
    </row>
    <row r="129" spans="2:7" ht="12">
      <c r="B129" s="18"/>
      <c r="C129" s="35"/>
      <c r="D129" s="22"/>
      <c r="E129" s="22"/>
      <c r="F129" s="19"/>
      <c r="G129" s="11"/>
    </row>
    <row r="130" spans="2:32" ht="12.75" customHeight="1">
      <c r="B130" s="43"/>
      <c r="C130" s="498" t="s">
        <v>233</v>
      </c>
      <c r="D130" s="498"/>
      <c r="E130" s="498"/>
      <c r="F130" s="44"/>
      <c r="G130" s="11"/>
      <c r="AD130" s="501" t="str">
        <f>C130</f>
        <v>MEMORANDUM ITEMS </v>
      </c>
      <c r="AE130" s="501"/>
      <c r="AF130" s="501"/>
    </row>
    <row r="131" spans="2:7" ht="12">
      <c r="B131" s="9"/>
      <c r="C131" s="9"/>
      <c r="D131" s="9"/>
      <c r="E131" s="9"/>
      <c r="F131" s="11"/>
      <c r="G131" s="11"/>
    </row>
    <row r="132" spans="2:46" ht="12">
      <c r="B132" s="9">
        <v>5</v>
      </c>
      <c r="C132" s="882" t="s">
        <v>234</v>
      </c>
      <c r="D132" s="882"/>
      <c r="E132" s="882"/>
      <c r="F132" s="882"/>
      <c r="G132" s="882"/>
      <c r="H132" s="882"/>
      <c r="I132" s="882"/>
      <c r="J132" s="882"/>
      <c r="K132" s="882"/>
      <c r="L132" s="882"/>
      <c r="M132" s="882"/>
      <c r="N132" s="882"/>
      <c r="O132" s="882"/>
      <c r="P132" s="882"/>
      <c r="Q132" s="882"/>
      <c r="R132" s="882"/>
      <c r="S132" s="882"/>
      <c r="AC132" s="8">
        <f>B132</f>
        <v>5</v>
      </c>
      <c r="AD132" s="883" t="str">
        <f>C132</f>
        <v>Expenditure covered by LSC Grant - Include below the part of the expenditure recorded in individual lines of section 52 budget that is supported by the Learning and Skills Council.</v>
      </c>
      <c r="AE132" s="883"/>
      <c r="AF132" s="883"/>
      <c r="AG132" s="883"/>
      <c r="AH132" s="883"/>
      <c r="AI132" s="883"/>
      <c r="AJ132" s="883"/>
      <c r="AK132" s="883"/>
      <c r="AL132" s="883"/>
      <c r="AM132" s="883"/>
      <c r="AN132" s="883"/>
      <c r="AO132" s="883"/>
      <c r="AP132" s="883"/>
      <c r="AQ132" s="883"/>
      <c r="AR132" s="883"/>
      <c r="AS132" s="883"/>
      <c r="AT132" s="883"/>
    </row>
    <row r="133" spans="2:7" ht="12">
      <c r="B133" s="9"/>
      <c r="C133" s="9"/>
      <c r="D133" s="9"/>
      <c r="E133" s="9"/>
      <c r="F133" s="11"/>
      <c r="G133" s="11"/>
    </row>
    <row r="134" spans="2:47" ht="25.5" customHeight="1">
      <c r="B134" s="29" t="s">
        <v>235</v>
      </c>
      <c r="C134" s="879" t="s">
        <v>236</v>
      </c>
      <c r="D134" s="880"/>
      <c r="E134" s="880"/>
      <c r="F134" s="11"/>
      <c r="G134" s="11"/>
      <c r="K134" s="23">
        <v>2937273</v>
      </c>
      <c r="O134" s="24">
        <f>SUM(K134)</f>
        <v>2937273</v>
      </c>
      <c r="Q134" s="23">
        <f>+O134</f>
        <v>2937273</v>
      </c>
      <c r="S134" s="24">
        <f>IF(ISERROR(O134-Q134),0,O134-Q134)</f>
        <v>0</v>
      </c>
      <c r="AC134" s="464" t="str">
        <f>B134</f>
        <v>5a.1</v>
      </c>
      <c r="AD134" s="881" t="str">
        <f>C134</f>
        <v>SIXTH FORM - Allocation from LSC for 16+ funding for secondary schools (included in expenditure 1.0.1 column (c))</v>
      </c>
      <c r="AE134" s="881"/>
      <c r="AF134" s="881"/>
      <c r="AL134" s="465">
        <f>IF(AND(K134="",$H$1&lt;&gt;"*"),"",IF(AND(K134="",$H$1="*"),"Error 1.1",IF(ISNUMBER(K134)=FALSE,"Error 1.2",IF(K134&lt;0,"Error 1.3",IF(K134&gt;K11,"Error 3.1.1",IF((K134)-INT(K134)&lt;&gt;0,"Warning 2.2",""))))))</f>
      </c>
      <c r="AP134" s="474"/>
      <c r="AR134" s="465">
        <f>IF(AND(Q134="",$H$1&lt;&gt;"*"),"",IF(AND(Q134="",$H$1="*"),"Error 1.1",IF(ISNUMBER(Q134)=FALSE,"Error 1.2",IF(Q134&lt;0,"Error 1.3",IF((Q134)-INT(Q134)&lt;&gt;0,"Warning 2.2","")))))</f>
      </c>
      <c r="AT134" s="465">
        <f>IF(AND(S134="",$H$1&lt;&gt;"*"),"",IF(AND(S134="",$H$1="*"),"Error 1.1",IF(ISNUMBER(S134)=FALSE,"Error 1.2",IF(S134&lt;&gt;0,"Warning 2.4",""))))</f>
      </c>
      <c r="AU134" s="2">
        <f>IF(LEN(TRIM(AL134&amp;AP134&amp;AR134&amp;AT134))&gt;0,1,0)</f>
        <v>0</v>
      </c>
    </row>
    <row r="135" spans="2:47" ht="25.5" customHeight="1">
      <c r="B135" s="29" t="s">
        <v>237</v>
      </c>
      <c r="C135" s="879" t="s">
        <v>238</v>
      </c>
      <c r="D135" s="880"/>
      <c r="E135" s="880"/>
      <c r="F135" s="11"/>
      <c r="G135" s="11"/>
      <c r="M135" s="23">
        <v>270654</v>
      </c>
      <c r="O135" s="24">
        <f>SUM(M135)</f>
        <v>270654</v>
      </c>
      <c r="Q135" s="23">
        <f>+O135</f>
        <v>270654</v>
      </c>
      <c r="S135" s="24">
        <f>IF(ISERROR(O135-Q135),0,O135-Q135)</f>
        <v>0</v>
      </c>
      <c r="AC135" s="464" t="str">
        <f>B135</f>
        <v>5a.2</v>
      </c>
      <c r="AD135" s="881" t="str">
        <f>C135</f>
        <v>SIXTH FORM - Allocation from LSC for 16+ funding for special schools (included in expenditure 1.0.1 column (d))</v>
      </c>
      <c r="AE135" s="881"/>
      <c r="AF135" s="881"/>
      <c r="AN135" s="465">
        <f>IF(AND(M135="",$H$1&lt;&gt;"*"),"",IF(AND(M135="",$H$1="*"),"Error 1.1",IF(ISNUMBER(M135)=FALSE,"Error 1.2",IF(M135&lt;0,"Error 1.3",IF(M135&gt;M11,"Error 3.1.2",IF((M135)-INT(M135)&lt;&gt;0,"Warning 2.2",""))))))</f>
      </c>
      <c r="AP135" s="474"/>
      <c r="AR135" s="465">
        <f>IF(AND(Q135="",$H$1&lt;&gt;"*"),"",IF(AND(Q135="",$H$1="*"),"Error 1.1",IF(ISNUMBER(Q135)=FALSE,"Error 1.2",IF(Q135&lt;0,"Error 1.3",IF((Q135)-INT(Q135)&lt;&gt;0,"Warning 2.2","")))))</f>
      </c>
      <c r="AT135" s="465">
        <f>IF(AND(S135="",$H$1&lt;&gt;"*"),"",IF(AND(S135="",$H$1="*"),"Error 1.1",IF(ISNUMBER(S135)=FALSE,"Error 1.2",IF(S135&lt;&gt;0,"Warning 2.4",""))))</f>
      </c>
      <c r="AU135" s="2">
        <f>IF(LEN(TRIM(AN135&amp;AP135&amp;AR135&amp;AT135))&gt;0,1,0)</f>
        <v>0</v>
      </c>
    </row>
    <row r="136" spans="2:32" ht="12">
      <c r="B136" s="29"/>
      <c r="C136" s="45"/>
      <c r="D136" s="45"/>
      <c r="E136" s="45"/>
      <c r="F136" s="11"/>
      <c r="G136" s="11"/>
      <c r="AC136" s="475"/>
      <c r="AD136" s="475"/>
      <c r="AE136" s="475"/>
      <c r="AF136" s="475"/>
    </row>
    <row r="137" spans="2:47" ht="25.5" customHeight="1">
      <c r="B137" s="29" t="s">
        <v>239</v>
      </c>
      <c r="C137" s="879" t="s">
        <v>240</v>
      </c>
      <c r="D137" s="880"/>
      <c r="E137" s="880"/>
      <c r="F137" s="11"/>
      <c r="G137" s="11"/>
      <c r="K137" s="23">
        <v>0</v>
      </c>
      <c r="M137" s="23">
        <v>0</v>
      </c>
      <c r="O137" s="24">
        <f>SUM(K137:M137)</f>
        <v>0</v>
      </c>
      <c r="Q137" s="23">
        <v>0</v>
      </c>
      <c r="S137" s="24">
        <f>IF(ISERROR(O137-Q137),0,O137-Q137)</f>
        <v>0</v>
      </c>
      <c r="AC137" s="464" t="str">
        <f aca="true" t="shared" si="50" ref="AC137:AD140">B137</f>
        <v>5b.1</v>
      </c>
      <c r="AD137" s="881" t="str">
        <f t="shared" si="50"/>
        <v>Sixth form element included at 1.2.1 above for pupils with and without statements</v>
      </c>
      <c r="AE137" s="881"/>
      <c r="AF137" s="881"/>
      <c r="AL137" s="465">
        <f>IF(AND(K137="",$H$1&lt;&gt;"*"),"",IF(AND(K137="",$H$1="*"),"Error 1.1",IF(ISNUMBER(K137)=FALSE,"Error 1.2",IF(K137&lt;0,"Error 1.3",IF(K137&gt;K24,"Error 3.1.3",IF((K137)-INT(K137)&lt;&gt;0,"Warning 2.2",""))))))</f>
      </c>
      <c r="AN137" s="465">
        <f>IF(AND(M137="",$H$1&lt;&gt;"*"),"",IF(AND(M137="",$H$1="*"),"Error 1.1",IF(ISNUMBER(M137)=FALSE,"Error 1.2",IF(M137&lt;0,"Error 1.3",IF(M137&gt;M24,"Error 3.1.3",IF((M137)-INT(M137)&lt;&gt;0,"Warning 2.2",""))))))</f>
      </c>
      <c r="AP137" s="474"/>
      <c r="AR137" s="465">
        <f>IF(AND(Q137="",$H$1&lt;&gt;"*"),"",IF(AND(Q137="",$H$1="*"),"Error 1.1",IF(ISNUMBER(Q137)=FALSE,"Error 1.2",IF(Q137&lt;0,"Error 1.3",IF((Q137)-INT(Q137)&lt;&gt;0,"Warning 2.2","")))))</f>
      </c>
      <c r="AT137" s="465">
        <f>IF(AND(S137="",$H$1&lt;&gt;"*"),"",IF(AND(S137="",$H$1="*"),"Error 1.1",IF(ISNUMBER(S137)=FALSE,"Error 1.2",IF(S137&lt;&gt;0,"Warning 2.4",""))))</f>
      </c>
      <c r="AU137" s="2">
        <f>IF(LEN(TRIM(AL137&amp;AN137&amp;AP137&amp;AR137&amp;AT137))&gt;0,1,0)</f>
        <v>0</v>
      </c>
    </row>
    <row r="138" spans="2:47" ht="25.5" customHeight="1">
      <c r="B138" s="29" t="s">
        <v>241</v>
      </c>
      <c r="C138" s="879" t="s">
        <v>242</v>
      </c>
      <c r="D138" s="880"/>
      <c r="E138" s="880"/>
      <c r="F138" s="11"/>
      <c r="G138" s="11"/>
      <c r="K138" s="23">
        <v>0</v>
      </c>
      <c r="M138" s="23">
        <v>0</v>
      </c>
      <c r="O138" s="24">
        <f>SUM(K138:M138)</f>
        <v>0</v>
      </c>
      <c r="Q138" s="23">
        <v>0</v>
      </c>
      <c r="S138" s="24">
        <f>IF(ISERROR(O138-Q138),0,O138-Q138)</f>
        <v>0</v>
      </c>
      <c r="AC138" s="464" t="str">
        <f t="shared" si="50"/>
        <v>5b.2</v>
      </c>
      <c r="AD138" s="881" t="str">
        <f t="shared" si="50"/>
        <v>Sixth form element included at 1.2.2 above for pupils with and without statements</v>
      </c>
      <c r="AE138" s="881"/>
      <c r="AF138" s="881"/>
      <c r="AL138" s="465">
        <f>IF(AND(K138="",$H$1&lt;&gt;"*"),"",IF(AND(K138="",$H$1="*"),"Error 1.1",IF(ISNUMBER(K138)=FALSE,"Error 1.2",IF(K138&lt;0,"Error 1.3",IF(K138&gt;K25,"Error 3.1.4",IF((K138)-INT(K138)&lt;&gt;0,"Warning 2.2",""))))))</f>
      </c>
      <c r="AN138" s="465">
        <f>IF(AND(M138="",$H$1&lt;&gt;"*"),"",IF(AND(M138="",$H$1="*"),"Error 1.1",IF(ISNUMBER(M138)=FALSE,"Error 1.2",IF(M138&lt;0,"Error 1.3",IF(M138&gt;M25,"Error 3.1.4",IF((M138)-INT(M138)&lt;&gt;0,"Warning 2.2",""))))))</f>
      </c>
      <c r="AP138" s="474"/>
      <c r="AR138" s="465">
        <f>IF(AND(Q138="",$H$1&lt;&gt;"*"),"",IF(AND(Q138="",$H$1="*"),"Error 1.1",IF(ISNUMBER(Q138)=FALSE,"Error 1.2",IF(Q138&lt;0,"Error 1.3",IF((Q138)-INT(Q138)&lt;&gt;0,"Warning 2.2","")))))</f>
      </c>
      <c r="AT138" s="465">
        <f>IF(AND(S138="",$H$1&lt;&gt;"*"),"",IF(AND(S138="",$H$1="*"),"Error 1.1",IF(ISNUMBER(S138)=FALSE,"Error 1.2",IF(S138&lt;&gt;0,"Warning 2.4",""))))</f>
      </c>
      <c r="AU138" s="2">
        <f>IF(LEN(TRIM(AL138&amp;AN138&amp;AP138&amp;AR138&amp;AT138))&gt;0,1,0)</f>
        <v>0</v>
      </c>
    </row>
    <row r="139" spans="2:47" ht="25.5" customHeight="1">
      <c r="B139" s="29" t="s">
        <v>243</v>
      </c>
      <c r="C139" s="879" t="s">
        <v>244</v>
      </c>
      <c r="D139" s="880"/>
      <c r="E139" s="880"/>
      <c r="F139" s="11"/>
      <c r="G139" s="11"/>
      <c r="K139" s="23">
        <v>0</v>
      </c>
      <c r="M139" s="23">
        <v>122225</v>
      </c>
      <c r="O139" s="24">
        <f>SUM(K139:M139)</f>
        <v>122225</v>
      </c>
      <c r="Q139" s="23">
        <f>+O139</f>
        <v>122225</v>
      </c>
      <c r="S139" s="24">
        <f>IF(ISERROR(O139-Q139),0,O139-Q139)</f>
        <v>0</v>
      </c>
      <c r="AC139" s="464" t="str">
        <f t="shared" si="50"/>
        <v>5b.3</v>
      </c>
      <c r="AD139" s="881" t="str">
        <f t="shared" si="50"/>
        <v>Sixth form element included at 1.2.4 above for pupils at independent special schools and abroad</v>
      </c>
      <c r="AE139" s="881"/>
      <c r="AF139" s="881"/>
      <c r="AL139" s="465">
        <f>IF(AND(K139="",$H$1&lt;&gt;"*"),"",IF(AND(K139="",$H$1="*"),"Error 1.1",IF(ISNUMBER(K139)=FALSE,"Error 1.2",IF(K139&lt;0,"Error 1.3",IF(K139&gt;K27,"Error 3.1.6",IF((K139)-INT(K139)&lt;&gt;0,"Warning 2.2",""))))))</f>
      </c>
      <c r="AN139" s="465">
        <f>IF(AND(M139="",$H$1&lt;&gt;"*"),"",IF(AND(M139="",$H$1="*"),"Error 1.1",IF(ISNUMBER(M139)=FALSE,"Error 1.2",IF(M139&lt;0,"Error 1.3",IF(M139&gt;M27,"Error 3.1.6",IF((M139)-INT(M139)&lt;&gt;0,"Warning 2.2",""))))))</f>
      </c>
      <c r="AP139" s="474"/>
      <c r="AR139" s="465">
        <f>IF(AND(Q139="",$H$1&lt;&gt;"*"),"",IF(AND(Q139="",$H$1="*"),"Error 1.1",IF(ISNUMBER(Q139)=FALSE,"Error 1.2",IF(Q139&lt;0,"Error 1.3",IF((Q139)-INT(Q139)&lt;&gt;0,"Warning 2.2","")))))</f>
      </c>
      <c r="AT139" s="465">
        <f>IF(AND(S139="",$H$1&lt;&gt;"*"),"",IF(AND(S139="",$H$1="*"),"Error 1.1",IF(ISNUMBER(S139)=FALSE,"Error 1.2",IF(S139&lt;&gt;0,"Warning 2.4",""))))</f>
      </c>
      <c r="AU139" s="2">
        <f>IF(LEN(TRIM(AL139&amp;AN139&amp;AP139&amp;AR139&amp;AT139))&gt;0,1,0)</f>
        <v>0</v>
      </c>
    </row>
    <row r="140" spans="2:47" ht="25.5" customHeight="1">
      <c r="B140" s="29" t="s">
        <v>245</v>
      </c>
      <c r="C140" s="879" t="s">
        <v>246</v>
      </c>
      <c r="D140" s="880"/>
      <c r="E140" s="880"/>
      <c r="F140" s="11"/>
      <c r="G140" s="11"/>
      <c r="K140" s="23">
        <v>0</v>
      </c>
      <c r="M140" s="23">
        <v>0</v>
      </c>
      <c r="O140" s="24">
        <f>SUM(K140:M140)</f>
        <v>0</v>
      </c>
      <c r="Q140" s="23">
        <f>+O140</f>
        <v>0</v>
      </c>
      <c r="S140" s="24">
        <f>IF(ISERROR(O140-Q140),0,O140-Q140)</f>
        <v>0</v>
      </c>
      <c r="AC140" s="464" t="str">
        <f t="shared" si="50"/>
        <v>5b.4</v>
      </c>
      <c r="AD140" s="881" t="str">
        <f t="shared" si="50"/>
        <v>Sixth form element included at 1.2.5 above for pupils at independent schools (pupils without statements)</v>
      </c>
      <c r="AE140" s="881"/>
      <c r="AF140" s="881"/>
      <c r="AL140" s="465">
        <f>IF(AND(K140="",$H$1&lt;&gt;"*"),"",IF(AND(K140="",$H$1="*"),"Error 1.1",IF(ISNUMBER(K140)=FALSE,"Error 1.2",IF(K140&lt;0,"Error 1.3",IF(K140&gt;K28,"Error 3.1.7",IF((K140)-INT(K140)&lt;&gt;0,"Warning 2.2",""))))))</f>
      </c>
      <c r="AN140" s="465">
        <f>IF(AND(M140="",$H$1&lt;&gt;"*"),"",IF(AND(M140="",$H$1="*"),"Error 1.1",IF(ISNUMBER(M140)=FALSE,"Error 1.2",IF(M140&lt;0,"Error 1.3",IF(M140&gt;M28,"Error 3.1.7",IF((M140)-INT(M140)&lt;&gt;0,"Warning 2.2",""))))))</f>
      </c>
      <c r="AP140" s="474"/>
      <c r="AR140" s="465">
        <f>IF(AND(Q140="",$H$1&lt;&gt;"*"),"",IF(AND(Q140="",$H$1="*"),"Error 1.1",IF(ISNUMBER(Q140)=FALSE,"Error 1.2",IF(Q140&lt;0,"Error 1.3",IF((Q140)-INT(Q140)&lt;&gt;0,"Warning 2.2","")))))</f>
      </c>
      <c r="AT140" s="465">
        <f>IF(AND(S140="",$H$1&lt;&gt;"*"),"",IF(AND(S140="",$H$1="*"),"Error 1.1",IF(ISNUMBER(S140)=FALSE,"Error 1.2",IF(S140&lt;&gt;0,"Warning 2.4",""))))</f>
      </c>
      <c r="AU140" s="2">
        <f>IF(LEN(TRIM(AL140&amp;AN140&amp;AP140&amp;AR140&amp;AT140))&gt;0,1,0)</f>
        <v>0</v>
      </c>
    </row>
    <row r="141" spans="2:7" ht="12">
      <c r="B141" s="9"/>
      <c r="C141" s="46"/>
      <c r="D141" s="46"/>
      <c r="E141" s="46"/>
      <c r="F141" s="11"/>
      <c r="G141" s="11"/>
    </row>
    <row r="142" spans="2:47" ht="25.5" customHeight="1">
      <c r="B142" s="29" t="s">
        <v>247</v>
      </c>
      <c r="C142" s="910" t="s">
        <v>248</v>
      </c>
      <c r="D142" s="910"/>
      <c r="E142" s="910"/>
      <c r="F142" s="11"/>
      <c r="G142" s="11"/>
      <c r="K142" s="23">
        <v>137131</v>
      </c>
      <c r="M142" s="23">
        <v>0</v>
      </c>
      <c r="O142" s="24">
        <f>SUM(K142:M142)</f>
        <v>137131</v>
      </c>
      <c r="Q142" s="23">
        <f>+O142</f>
        <v>137131</v>
      </c>
      <c r="S142" s="24">
        <f>IF(ISERROR(O142-Q142),0,O142-Q142)</f>
        <v>0</v>
      </c>
      <c r="AC142" s="464" t="str">
        <f>B142</f>
        <v>5c.1</v>
      </c>
      <c r="AD142" s="881" t="str">
        <f>C142</f>
        <v>LSC Threshold and Performance Pay Costs (included in expenditure at 1.0.1 columns c and d)</v>
      </c>
      <c r="AE142" s="881"/>
      <c r="AF142" s="881"/>
      <c r="AL142" s="465">
        <f>IF(AND(K142="",$H$1&lt;&gt;"*"),"",IF(AND(K142="",$H$1="*"),"Error 1.1",IF(ISNUMBER(K142)=FALSE,"Error 1.2",IF(K142&lt;0,"Error 1.3",IF(K142&gt;K11,"Error 3.1.8",IF((K142)-INT(K142)&lt;&gt;0,"Warning 2.2",""))))))</f>
      </c>
      <c r="AN142" s="465">
        <f>IF(AND(M142="",$H$1&lt;&gt;"*"),"",IF(AND(M142="",$H$1="*"),"Error 1.1",IF(ISNUMBER(M142)=FALSE,"Error 1.2",IF(M142&lt;0,"Error 1.3",IF(M142&gt;M11,"Error 3.1.8",IF((M142)-INT(M142)&lt;&gt;0,"Warning 2.2",""))))))</f>
      </c>
      <c r="AP142" s="474"/>
      <c r="AR142" s="465">
        <f>IF(AND(Q142="",$H$1&lt;&gt;"*"),"",IF(AND(Q142="",$H$1="*"),"Error 1.1",IF(ISNUMBER(Q142)=FALSE,"Error 1.2",IF(Q142&lt;0,"Error 1.3",IF((Q142)-INT(Q142)&lt;&gt;0,"Warning 2.2","")))))</f>
      </c>
      <c r="AT142" s="465">
        <f>IF(AND(S142="",$H$1&lt;&gt;"*"),"",IF(AND(S142="",$H$1="*"),"Error 1.1",IF(ISNUMBER(S142)=FALSE,"Error 1.2",IF(S142&lt;&gt;0,"Warning 2.4",""))))</f>
      </c>
      <c r="AU142" s="2">
        <f>IF(LEN(TRIM(AL142&amp;AN142&amp;AP142&amp;AR142&amp;AT142))&gt;0,1,0)</f>
        <v>0</v>
      </c>
    </row>
    <row r="143" spans="2:47" ht="25.5" customHeight="1">
      <c r="B143" s="29" t="s">
        <v>249</v>
      </c>
      <c r="C143" s="911" t="s">
        <v>250</v>
      </c>
      <c r="D143" s="911"/>
      <c r="E143" s="911"/>
      <c r="F143" s="11"/>
      <c r="G143" s="11"/>
      <c r="K143" s="23">
        <v>0</v>
      </c>
      <c r="M143" s="23">
        <v>0</v>
      </c>
      <c r="O143" s="24">
        <f>SUM(K143:M143)</f>
        <v>0</v>
      </c>
      <c r="Q143" s="23">
        <v>0</v>
      </c>
      <c r="S143" s="24">
        <f>IF(ISERROR(O143-Q143),0,O143-Q143)</f>
        <v>0</v>
      </c>
      <c r="AC143" s="464" t="str">
        <f>B143</f>
        <v>5c.2</v>
      </c>
      <c r="AD143" s="881" t="str">
        <f>C143</f>
        <v>LSC Threshold and Performance Pay Costs (included in expenditure at 1.0.8 columns c and d)</v>
      </c>
      <c r="AE143" s="881"/>
      <c r="AF143" s="881"/>
      <c r="AL143" s="465">
        <f>IF(AND(K143="",$H$1&lt;&gt;"*"),"",IF(AND(K143="",$H$1="*"),"Error 1.1",IF(ISNUMBER(K143)=FALSE,"Error 1.2",IF(K143&lt;0,"Error 1.3",IF(K143&gt;K18,"Error 3.1.9",IF((K143)-INT(K143)&lt;&gt;0,"Warning 2.2",""))))))</f>
      </c>
      <c r="AN143" s="465">
        <f>IF(AND(M143="",$H$1&lt;&gt;"*"),"",IF(AND(M143="",$H$1="*"),"Error 1.1",IF(ISNUMBER(M143)=FALSE,"Error 1.2",IF(M143&lt;0,"Error 1.3",IF(M143&gt;M18,"Error 3.1.9",IF((M143)-INT(M143)&lt;&gt;0,"Warning 2.2",""))))))</f>
      </c>
      <c r="AP143" s="474"/>
      <c r="AR143" s="465">
        <f>IF(AND(Q143="",$H$1&lt;&gt;"*"),"",IF(AND(Q143="",$H$1="*"),"Error 1.1",IF(ISNUMBER(Q143)=FALSE,"Error 1.2",IF(Q143&lt;0,"Error 1.3",IF((Q143)-INT(Q143)&lt;&gt;0,"Warning 2.2","")))))</f>
      </c>
      <c r="AT143" s="465">
        <f>IF(AND(S143="",$H$1&lt;&gt;"*"),"",IF(AND(S143="",$H$1="*"),"Error 1.1",IF(ISNUMBER(S143)=FALSE,"Error 1.2",IF(S143&lt;&gt;0,"Warning 2.4",""))))</f>
      </c>
      <c r="AU143" s="2">
        <f>IF(LEN(TRIM(AL143&amp;AN143&amp;AP143&amp;AR143&amp;AT143))&gt;0,1,0)</f>
        <v>0</v>
      </c>
    </row>
    <row r="144" ht="12.75" thickBot="1"/>
    <row r="145" spans="1:67" ht="12.75" customHeight="1">
      <c r="A145" s="509" t="s">
        <v>251</v>
      </c>
      <c r="B145" s="510"/>
      <c r="C145" s="510"/>
      <c r="D145" s="510"/>
      <c r="E145" s="510"/>
      <c r="F145" s="510"/>
      <c r="G145" s="510"/>
      <c r="H145" s="510"/>
      <c r="I145" s="510"/>
      <c r="J145" s="510"/>
      <c r="K145" s="510"/>
      <c r="L145" s="510"/>
      <c r="M145" s="510"/>
      <c r="N145" s="510"/>
      <c r="O145" s="510"/>
      <c r="P145" s="510"/>
      <c r="Q145" s="510"/>
      <c r="R145" s="510"/>
      <c r="S145" s="511"/>
      <c r="AB145" s="509" t="s">
        <v>824</v>
      </c>
      <c r="AC145" s="510"/>
      <c r="AD145" s="510"/>
      <c r="AE145" s="510"/>
      <c r="AF145" s="510"/>
      <c r="AG145" s="510"/>
      <c r="AH145" s="510"/>
      <c r="AI145" s="510"/>
      <c r="AJ145" s="510"/>
      <c r="AK145" s="510"/>
      <c r="AL145" s="510"/>
      <c r="AM145" s="510"/>
      <c r="AN145" s="510"/>
      <c r="AO145" s="510"/>
      <c r="AP145" s="510"/>
      <c r="AQ145" s="510"/>
      <c r="AR145" s="510"/>
      <c r="AS145" s="510"/>
      <c r="AT145" s="511"/>
      <c r="AW145" s="509" t="s">
        <v>825</v>
      </c>
      <c r="AX145" s="510"/>
      <c r="AY145" s="510"/>
      <c r="AZ145" s="510"/>
      <c r="BA145" s="510"/>
      <c r="BB145" s="510"/>
      <c r="BC145" s="510"/>
      <c r="BD145" s="510"/>
      <c r="BE145" s="510"/>
      <c r="BF145" s="510"/>
      <c r="BG145" s="510"/>
      <c r="BH145" s="510"/>
      <c r="BI145" s="510"/>
      <c r="BJ145" s="511"/>
      <c r="BK145" s="476"/>
      <c r="BL145" s="477"/>
      <c r="BM145" s="477"/>
      <c r="BN145" s="477"/>
      <c r="BO145" s="477"/>
    </row>
    <row r="146" spans="1:62" ht="12.75" thickBot="1">
      <c r="A146" s="513" t="s">
        <v>252</v>
      </c>
      <c r="B146" s="506"/>
      <c r="C146" s="506"/>
      <c r="D146" s="506"/>
      <c r="E146" s="506"/>
      <c r="F146" s="506"/>
      <c r="G146" s="506"/>
      <c r="H146" s="506"/>
      <c r="I146" s="506"/>
      <c r="J146" s="506"/>
      <c r="K146" s="506"/>
      <c r="L146" s="506"/>
      <c r="M146" s="506"/>
      <c r="N146" s="506"/>
      <c r="O146" s="506"/>
      <c r="P146" s="506"/>
      <c r="Q146" s="506"/>
      <c r="R146" s="506"/>
      <c r="S146" s="507"/>
      <c r="AB146" s="513" t="s">
        <v>252</v>
      </c>
      <c r="AC146" s="506"/>
      <c r="AD146" s="506"/>
      <c r="AE146" s="506"/>
      <c r="AF146" s="506"/>
      <c r="AG146" s="506"/>
      <c r="AH146" s="506"/>
      <c r="AI146" s="506"/>
      <c r="AJ146" s="506"/>
      <c r="AK146" s="506"/>
      <c r="AL146" s="506"/>
      <c r="AM146" s="506"/>
      <c r="AN146" s="506"/>
      <c r="AO146" s="506"/>
      <c r="AP146" s="506"/>
      <c r="AQ146" s="506"/>
      <c r="AR146" s="506"/>
      <c r="AS146" s="506"/>
      <c r="AT146" s="507"/>
      <c r="AW146" s="513" t="s">
        <v>826</v>
      </c>
      <c r="AX146" s="506"/>
      <c r="AY146" s="506"/>
      <c r="AZ146" s="506"/>
      <c r="BA146" s="506"/>
      <c r="BB146" s="506"/>
      <c r="BC146" s="506"/>
      <c r="BD146" s="506"/>
      <c r="BE146" s="506"/>
      <c r="BF146" s="506"/>
      <c r="BG146" s="506"/>
      <c r="BH146" s="506"/>
      <c r="BI146" s="506"/>
      <c r="BJ146" s="507"/>
    </row>
    <row r="147" spans="1:62" ht="12.75" thickBot="1">
      <c r="A147" s="531" t="s">
        <v>253</v>
      </c>
      <c r="B147" s="532"/>
      <c r="C147" s="532"/>
      <c r="D147" s="532"/>
      <c r="E147" s="532"/>
      <c r="F147" s="532"/>
      <c r="G147" s="532"/>
      <c r="H147" s="532"/>
      <c r="I147" s="532"/>
      <c r="J147" s="532"/>
      <c r="K147" s="532"/>
      <c r="L147" s="532"/>
      <c r="M147" s="532"/>
      <c r="N147" s="532"/>
      <c r="O147" s="532"/>
      <c r="P147" s="532"/>
      <c r="Q147" s="532"/>
      <c r="R147" s="532"/>
      <c r="S147" s="512"/>
      <c r="AB147" s="531"/>
      <c r="AC147" s="532"/>
      <c r="AD147" s="532"/>
      <c r="AE147" s="532"/>
      <c r="AF147" s="532"/>
      <c r="AG147" s="532"/>
      <c r="AH147" s="532"/>
      <c r="AI147" s="532"/>
      <c r="AJ147" s="532"/>
      <c r="AK147" s="532"/>
      <c r="AL147" s="532"/>
      <c r="AM147" s="532"/>
      <c r="AN147" s="532"/>
      <c r="AO147" s="532"/>
      <c r="AP147" s="532"/>
      <c r="AQ147" s="532"/>
      <c r="AR147" s="532"/>
      <c r="AS147" s="532"/>
      <c r="AT147" s="512"/>
      <c r="AW147" s="478"/>
      <c r="AX147" s="479"/>
      <c r="AY147" s="479"/>
      <c r="AZ147" s="479"/>
      <c r="BA147" s="479"/>
      <c r="BB147" s="479"/>
      <c r="BC147" s="479"/>
      <c r="BD147" s="479"/>
      <c r="BE147" s="479"/>
      <c r="BF147" s="479"/>
      <c r="BG147" s="479"/>
      <c r="BH147" s="479"/>
      <c r="BI147" s="479"/>
      <c r="BJ147" s="480"/>
    </row>
    <row r="148" spans="1:62" ht="12">
      <c r="A148" s="531" t="s">
        <v>254</v>
      </c>
      <c r="B148" s="532"/>
      <c r="C148" s="532"/>
      <c r="D148" s="532"/>
      <c r="E148" s="532"/>
      <c r="F148" s="532"/>
      <c r="G148" s="532"/>
      <c r="H148" s="532"/>
      <c r="I148" s="532"/>
      <c r="J148" s="532"/>
      <c r="K148" s="532"/>
      <c r="L148" s="532"/>
      <c r="M148" s="532"/>
      <c r="N148" s="532"/>
      <c r="O148" s="532"/>
      <c r="P148" s="532"/>
      <c r="Q148" s="532"/>
      <c r="R148" s="532"/>
      <c r="S148" s="512"/>
      <c r="AB148" s="522"/>
      <c r="AC148" s="523"/>
      <c r="AD148" s="523"/>
      <c r="AE148" s="523"/>
      <c r="AF148" s="523"/>
      <c r="AG148" s="523"/>
      <c r="AH148" s="523"/>
      <c r="AI148" s="523"/>
      <c r="AJ148" s="523"/>
      <c r="AK148" s="523"/>
      <c r="AL148" s="523"/>
      <c r="AM148" s="523"/>
      <c r="AN148" s="523"/>
      <c r="AO148" s="523"/>
      <c r="AP148" s="523"/>
      <c r="AQ148" s="523"/>
      <c r="AR148" s="523"/>
      <c r="AS148" s="523"/>
      <c r="AT148" s="524"/>
      <c r="AW148" s="481"/>
      <c r="AX148" s="479"/>
      <c r="AY148" s="479"/>
      <c r="AZ148" s="479"/>
      <c r="BA148" s="479"/>
      <c r="BB148" s="479"/>
      <c r="BC148" s="479"/>
      <c r="BD148" s="479"/>
      <c r="BE148" s="479"/>
      <c r="BF148" s="479"/>
      <c r="BG148" s="479"/>
      <c r="BH148" s="479"/>
      <c r="BI148" s="479"/>
      <c r="BJ148" s="482"/>
    </row>
    <row r="149" spans="1:62" ht="12">
      <c r="A149" s="50" t="s">
        <v>255</v>
      </c>
      <c r="B149" s="51"/>
      <c r="C149" s="51"/>
      <c r="D149" s="51"/>
      <c r="E149" s="51"/>
      <c r="F149" s="51"/>
      <c r="G149" s="51"/>
      <c r="H149" s="51"/>
      <c r="I149" s="51"/>
      <c r="J149" s="51"/>
      <c r="K149" s="51"/>
      <c r="L149" s="51"/>
      <c r="M149" s="51"/>
      <c r="N149" s="51"/>
      <c r="O149" s="51"/>
      <c r="P149" s="51"/>
      <c r="Q149" s="51"/>
      <c r="R149" s="51"/>
      <c r="S149" s="52"/>
      <c r="AB149" s="522"/>
      <c r="AC149" s="523"/>
      <c r="AD149" s="523"/>
      <c r="AE149" s="523"/>
      <c r="AF149" s="523"/>
      <c r="AG149" s="523"/>
      <c r="AH149" s="523"/>
      <c r="AI149" s="523"/>
      <c r="AJ149" s="523"/>
      <c r="AK149" s="523"/>
      <c r="AL149" s="523"/>
      <c r="AM149" s="523"/>
      <c r="AN149" s="523"/>
      <c r="AO149" s="523"/>
      <c r="AP149" s="523"/>
      <c r="AQ149" s="523"/>
      <c r="AR149" s="523"/>
      <c r="AS149" s="523"/>
      <c r="AT149" s="524"/>
      <c r="AW149" s="481"/>
      <c r="AX149" s="479"/>
      <c r="AY149" s="479"/>
      <c r="AZ149" s="479"/>
      <c r="BA149" s="479"/>
      <c r="BB149" s="479"/>
      <c r="BC149" s="479"/>
      <c r="BD149" s="479"/>
      <c r="BE149" s="479"/>
      <c r="BF149" s="479"/>
      <c r="BG149" s="479"/>
      <c r="BH149" s="479"/>
      <c r="BI149" s="479"/>
      <c r="BJ149" s="482"/>
    </row>
    <row r="150" spans="1:62" ht="12">
      <c r="A150" s="50" t="s">
        <v>256</v>
      </c>
      <c r="B150" s="51"/>
      <c r="C150" s="51"/>
      <c r="D150" s="51"/>
      <c r="E150" s="51"/>
      <c r="F150" s="51"/>
      <c r="G150" s="51"/>
      <c r="H150" s="51"/>
      <c r="I150" s="51"/>
      <c r="J150" s="51"/>
      <c r="K150" s="51"/>
      <c r="L150" s="51"/>
      <c r="M150" s="51"/>
      <c r="N150" s="51"/>
      <c r="O150" s="51"/>
      <c r="P150" s="51"/>
      <c r="Q150" s="51"/>
      <c r="R150" s="51"/>
      <c r="S150" s="52"/>
      <c r="AB150" s="522"/>
      <c r="AC150" s="523"/>
      <c r="AD150" s="523"/>
      <c r="AE150" s="523"/>
      <c r="AF150" s="523"/>
      <c r="AG150" s="523"/>
      <c r="AH150" s="523"/>
      <c r="AI150" s="523"/>
      <c r="AJ150" s="523"/>
      <c r="AK150" s="523"/>
      <c r="AL150" s="523"/>
      <c r="AM150" s="523"/>
      <c r="AN150" s="523"/>
      <c r="AO150" s="523"/>
      <c r="AP150" s="523"/>
      <c r="AQ150" s="523"/>
      <c r="AR150" s="523"/>
      <c r="AS150" s="523"/>
      <c r="AT150" s="524"/>
      <c r="AW150" s="481"/>
      <c r="AX150" s="479"/>
      <c r="AY150" s="479"/>
      <c r="AZ150" s="479"/>
      <c r="BA150" s="479"/>
      <c r="BB150" s="479"/>
      <c r="BC150" s="479"/>
      <c r="BD150" s="479"/>
      <c r="BE150" s="479"/>
      <c r="BF150" s="479"/>
      <c r="BG150" s="479"/>
      <c r="BH150" s="479"/>
      <c r="BI150" s="479"/>
      <c r="BJ150" s="482"/>
    </row>
    <row r="151" spans="1:62" ht="12">
      <c r="A151" s="50" t="s">
        <v>257</v>
      </c>
      <c r="B151" s="51"/>
      <c r="C151" s="51"/>
      <c r="D151" s="51"/>
      <c r="E151" s="51"/>
      <c r="F151" s="51"/>
      <c r="G151" s="51"/>
      <c r="H151" s="51"/>
      <c r="I151" s="51"/>
      <c r="J151" s="51"/>
      <c r="K151" s="51"/>
      <c r="L151" s="51"/>
      <c r="M151" s="51"/>
      <c r="N151" s="51"/>
      <c r="O151" s="51"/>
      <c r="P151" s="51"/>
      <c r="Q151" s="51"/>
      <c r="R151" s="51"/>
      <c r="S151" s="52"/>
      <c r="AB151" s="522"/>
      <c r="AC151" s="523"/>
      <c r="AD151" s="523"/>
      <c r="AE151" s="523"/>
      <c r="AF151" s="523"/>
      <c r="AG151" s="523"/>
      <c r="AH151" s="523"/>
      <c r="AI151" s="523"/>
      <c r="AJ151" s="523"/>
      <c r="AK151" s="523"/>
      <c r="AL151" s="523"/>
      <c r="AM151" s="523"/>
      <c r="AN151" s="523"/>
      <c r="AO151" s="523"/>
      <c r="AP151" s="523"/>
      <c r="AQ151" s="523"/>
      <c r="AR151" s="523"/>
      <c r="AS151" s="523"/>
      <c r="AT151" s="524"/>
      <c r="AW151" s="481"/>
      <c r="AX151" s="479"/>
      <c r="AY151" s="479"/>
      <c r="AZ151" s="479"/>
      <c r="BA151" s="479"/>
      <c r="BB151" s="479"/>
      <c r="BC151" s="479"/>
      <c r="BD151" s="479"/>
      <c r="BE151" s="479"/>
      <c r="BF151" s="479"/>
      <c r="BG151" s="479"/>
      <c r="BH151" s="479"/>
      <c r="BI151" s="479"/>
      <c r="BJ151" s="482"/>
    </row>
    <row r="152" spans="1:62" ht="12">
      <c r="A152" s="50" t="s">
        <v>258</v>
      </c>
      <c r="B152" s="51"/>
      <c r="C152" s="51"/>
      <c r="D152" s="51"/>
      <c r="E152" s="51"/>
      <c r="F152" s="51"/>
      <c r="G152" s="51"/>
      <c r="H152" s="51"/>
      <c r="I152" s="51"/>
      <c r="J152" s="51"/>
      <c r="K152" s="51"/>
      <c r="L152" s="51"/>
      <c r="M152" s="51"/>
      <c r="N152" s="51"/>
      <c r="O152" s="51"/>
      <c r="P152" s="51"/>
      <c r="Q152" s="51"/>
      <c r="R152" s="51"/>
      <c r="S152" s="52"/>
      <c r="AB152" s="522"/>
      <c r="AC152" s="523"/>
      <c r="AD152" s="523"/>
      <c r="AE152" s="523"/>
      <c r="AF152" s="523"/>
      <c r="AG152" s="523"/>
      <c r="AH152" s="523"/>
      <c r="AI152" s="523"/>
      <c r="AJ152" s="523"/>
      <c r="AK152" s="523"/>
      <c r="AL152" s="523"/>
      <c r="AM152" s="523"/>
      <c r="AN152" s="523"/>
      <c r="AO152" s="523"/>
      <c r="AP152" s="523"/>
      <c r="AQ152" s="523"/>
      <c r="AR152" s="523"/>
      <c r="AS152" s="523"/>
      <c r="AT152" s="524"/>
      <c r="AW152" s="481"/>
      <c r="AX152" s="479"/>
      <c r="AY152" s="479"/>
      <c r="AZ152" s="479"/>
      <c r="BA152" s="479"/>
      <c r="BB152" s="479"/>
      <c r="BC152" s="479"/>
      <c r="BD152" s="479"/>
      <c r="BE152" s="479"/>
      <c r="BF152" s="479"/>
      <c r="BG152" s="479"/>
      <c r="BH152" s="479"/>
      <c r="BI152" s="479"/>
      <c r="BJ152" s="482"/>
    </row>
    <row r="153" spans="1:62" ht="12">
      <c r="A153" s="522"/>
      <c r="B153" s="523"/>
      <c r="C153" s="523"/>
      <c r="D153" s="523"/>
      <c r="E153" s="523"/>
      <c r="F153" s="523"/>
      <c r="G153" s="523"/>
      <c r="H153" s="523"/>
      <c r="I153" s="523"/>
      <c r="J153" s="523"/>
      <c r="K153" s="523"/>
      <c r="L153" s="523"/>
      <c r="M153" s="523"/>
      <c r="N153" s="523"/>
      <c r="O153" s="523"/>
      <c r="P153" s="523"/>
      <c r="Q153" s="523"/>
      <c r="R153" s="523"/>
      <c r="S153" s="524"/>
      <c r="AB153" s="522"/>
      <c r="AC153" s="523"/>
      <c r="AD153" s="523"/>
      <c r="AE153" s="523"/>
      <c r="AF153" s="523"/>
      <c r="AG153" s="523"/>
      <c r="AH153" s="523"/>
      <c r="AI153" s="523"/>
      <c r="AJ153" s="523"/>
      <c r="AK153" s="523"/>
      <c r="AL153" s="523"/>
      <c r="AM153" s="523"/>
      <c r="AN153" s="523"/>
      <c r="AO153" s="523"/>
      <c r="AP153" s="523"/>
      <c r="AQ153" s="523"/>
      <c r="AR153" s="523"/>
      <c r="AS153" s="523"/>
      <c r="AT153" s="524"/>
      <c r="AW153" s="481"/>
      <c r="AX153" s="479"/>
      <c r="AY153" s="479"/>
      <c r="AZ153" s="479"/>
      <c r="BA153" s="479"/>
      <c r="BB153" s="479"/>
      <c r="BC153" s="479"/>
      <c r="BD153" s="479"/>
      <c r="BE153" s="479"/>
      <c r="BF153" s="479"/>
      <c r="BG153" s="479"/>
      <c r="BH153" s="479"/>
      <c r="BI153" s="479"/>
      <c r="BJ153" s="482"/>
    </row>
    <row r="154" spans="1:62" ht="12">
      <c r="A154" s="522" t="s">
        <v>827</v>
      </c>
      <c r="B154" s="523"/>
      <c r="C154" s="523"/>
      <c r="D154" s="523"/>
      <c r="E154" s="523"/>
      <c r="F154" s="523"/>
      <c r="G154" s="523"/>
      <c r="H154" s="523"/>
      <c r="I154" s="523"/>
      <c r="J154" s="523"/>
      <c r="K154" s="523"/>
      <c r="L154" s="523"/>
      <c r="M154" s="523"/>
      <c r="N154" s="523"/>
      <c r="O154" s="523"/>
      <c r="P154" s="523"/>
      <c r="Q154" s="523"/>
      <c r="R154" s="523"/>
      <c r="S154" s="524"/>
      <c r="AB154" s="522"/>
      <c r="AC154" s="523"/>
      <c r="AD154" s="523"/>
      <c r="AE154" s="523"/>
      <c r="AF154" s="523"/>
      <c r="AG154" s="523"/>
      <c r="AH154" s="523"/>
      <c r="AI154" s="523"/>
      <c r="AJ154" s="523"/>
      <c r="AK154" s="523"/>
      <c r="AL154" s="523"/>
      <c r="AM154" s="523"/>
      <c r="AN154" s="523"/>
      <c r="AO154" s="523"/>
      <c r="AP154" s="523"/>
      <c r="AQ154" s="523"/>
      <c r="AR154" s="523"/>
      <c r="AS154" s="523"/>
      <c r="AT154" s="524"/>
      <c r="AW154" s="481"/>
      <c r="AX154" s="479"/>
      <c r="AY154" s="479"/>
      <c r="AZ154" s="479"/>
      <c r="BA154" s="479"/>
      <c r="BB154" s="479"/>
      <c r="BC154" s="479"/>
      <c r="BD154" s="479"/>
      <c r="BE154" s="479"/>
      <c r="BF154" s="479"/>
      <c r="BG154" s="479"/>
      <c r="BH154" s="479"/>
      <c r="BI154" s="479"/>
      <c r="BJ154" s="482"/>
    </row>
    <row r="155" spans="1:62" ht="12">
      <c r="A155" s="50" t="s">
        <v>260</v>
      </c>
      <c r="B155" s="51"/>
      <c r="C155" s="51"/>
      <c r="D155" s="51"/>
      <c r="E155" s="51"/>
      <c r="F155" s="51"/>
      <c r="G155" s="51"/>
      <c r="H155" s="51"/>
      <c r="I155" s="51"/>
      <c r="J155" s="51"/>
      <c r="K155" s="51"/>
      <c r="L155" s="51"/>
      <c r="M155" s="51"/>
      <c r="N155" s="51"/>
      <c r="O155" s="51"/>
      <c r="P155" s="51"/>
      <c r="Q155" s="51"/>
      <c r="R155" s="51"/>
      <c r="S155" s="52"/>
      <c r="AB155" s="522"/>
      <c r="AC155" s="523"/>
      <c r="AD155" s="523"/>
      <c r="AE155" s="523"/>
      <c r="AF155" s="523"/>
      <c r="AG155" s="523"/>
      <c r="AH155" s="523"/>
      <c r="AI155" s="523"/>
      <c r="AJ155" s="523"/>
      <c r="AK155" s="523"/>
      <c r="AL155" s="523"/>
      <c r="AM155" s="523"/>
      <c r="AN155" s="523"/>
      <c r="AO155" s="523"/>
      <c r="AP155" s="523"/>
      <c r="AQ155" s="523"/>
      <c r="AR155" s="523"/>
      <c r="AS155" s="523"/>
      <c r="AT155" s="524"/>
      <c r="AW155" s="481"/>
      <c r="AX155" s="479"/>
      <c r="AY155" s="479"/>
      <c r="AZ155" s="479"/>
      <c r="BA155" s="479"/>
      <c r="BB155" s="479"/>
      <c r="BC155" s="479"/>
      <c r="BD155" s="479"/>
      <c r="BE155" s="479"/>
      <c r="BF155" s="479"/>
      <c r="BG155" s="479"/>
      <c r="BH155" s="479"/>
      <c r="BI155" s="479"/>
      <c r="BJ155" s="482"/>
    </row>
    <row r="156" spans="1:62" ht="12">
      <c r="A156" s="50" t="s">
        <v>261</v>
      </c>
      <c r="B156" s="51"/>
      <c r="C156" s="51"/>
      <c r="D156" s="51"/>
      <c r="E156" s="51"/>
      <c r="F156" s="51"/>
      <c r="G156" s="51"/>
      <c r="H156" s="51"/>
      <c r="I156" s="51"/>
      <c r="J156" s="51"/>
      <c r="K156" s="51"/>
      <c r="L156" s="51"/>
      <c r="M156" s="51"/>
      <c r="N156" s="51"/>
      <c r="O156" s="51"/>
      <c r="P156" s="51"/>
      <c r="Q156" s="51"/>
      <c r="R156" s="51"/>
      <c r="S156" s="52"/>
      <c r="AB156" s="522"/>
      <c r="AC156" s="523"/>
      <c r="AD156" s="523"/>
      <c r="AE156" s="523"/>
      <c r="AF156" s="523"/>
      <c r="AG156" s="523"/>
      <c r="AH156" s="523"/>
      <c r="AI156" s="523"/>
      <c r="AJ156" s="523"/>
      <c r="AK156" s="523"/>
      <c r="AL156" s="523"/>
      <c r="AM156" s="523"/>
      <c r="AN156" s="523"/>
      <c r="AO156" s="523"/>
      <c r="AP156" s="523"/>
      <c r="AQ156" s="523"/>
      <c r="AR156" s="523"/>
      <c r="AS156" s="523"/>
      <c r="AT156" s="524"/>
      <c r="AW156" s="481"/>
      <c r="AX156" s="479"/>
      <c r="AY156" s="479"/>
      <c r="AZ156" s="479"/>
      <c r="BA156" s="479"/>
      <c r="BB156" s="479"/>
      <c r="BC156" s="479"/>
      <c r="BD156" s="479"/>
      <c r="BE156" s="479"/>
      <c r="BF156" s="479"/>
      <c r="BG156" s="479"/>
      <c r="BH156" s="479"/>
      <c r="BI156" s="479"/>
      <c r="BJ156" s="482"/>
    </row>
    <row r="157" spans="1:62" ht="12">
      <c r="A157" s="50" t="s">
        <v>262</v>
      </c>
      <c r="B157" s="51"/>
      <c r="C157" s="51"/>
      <c r="D157" s="51"/>
      <c r="E157" s="51"/>
      <c r="F157" s="51"/>
      <c r="G157" s="51"/>
      <c r="H157" s="51"/>
      <c r="I157" s="51"/>
      <c r="J157" s="51"/>
      <c r="K157" s="51"/>
      <c r="L157" s="51"/>
      <c r="M157" s="51"/>
      <c r="N157" s="51"/>
      <c r="O157" s="51"/>
      <c r="P157" s="51"/>
      <c r="Q157" s="51"/>
      <c r="R157" s="51"/>
      <c r="S157" s="52"/>
      <c r="AB157" s="522"/>
      <c r="AC157" s="523"/>
      <c r="AD157" s="523"/>
      <c r="AE157" s="523"/>
      <c r="AF157" s="523"/>
      <c r="AG157" s="523"/>
      <c r="AH157" s="523"/>
      <c r="AI157" s="523"/>
      <c r="AJ157" s="523"/>
      <c r="AK157" s="523"/>
      <c r="AL157" s="523"/>
      <c r="AM157" s="523"/>
      <c r="AN157" s="523"/>
      <c r="AO157" s="523"/>
      <c r="AP157" s="523"/>
      <c r="AQ157" s="523"/>
      <c r="AR157" s="523"/>
      <c r="AS157" s="523"/>
      <c r="AT157" s="524"/>
      <c r="AW157" s="481"/>
      <c r="AX157" s="479"/>
      <c r="AY157" s="479"/>
      <c r="AZ157" s="479"/>
      <c r="BA157" s="479"/>
      <c r="BB157" s="479"/>
      <c r="BC157" s="479"/>
      <c r="BD157" s="479"/>
      <c r="BE157" s="479"/>
      <c r="BF157" s="479"/>
      <c r="BG157" s="479"/>
      <c r="BH157" s="479"/>
      <c r="BI157" s="479"/>
      <c r="BJ157" s="482"/>
    </row>
    <row r="158" spans="1:62" ht="12">
      <c r="A158" s="50" t="s">
        <v>263</v>
      </c>
      <c r="B158" s="51"/>
      <c r="C158" s="51"/>
      <c r="D158" s="51"/>
      <c r="E158" s="51"/>
      <c r="F158" s="51"/>
      <c r="G158" s="51"/>
      <c r="H158" s="51"/>
      <c r="I158" s="51"/>
      <c r="J158" s="51"/>
      <c r="K158" s="51"/>
      <c r="L158" s="51"/>
      <c r="M158" s="51"/>
      <c r="N158" s="51"/>
      <c r="O158" s="51"/>
      <c r="P158" s="51"/>
      <c r="Q158" s="51"/>
      <c r="R158" s="51"/>
      <c r="S158" s="52"/>
      <c r="AB158" s="522"/>
      <c r="AC158" s="523"/>
      <c r="AD158" s="523"/>
      <c r="AE158" s="523"/>
      <c r="AF158" s="523"/>
      <c r="AG158" s="523"/>
      <c r="AH158" s="523"/>
      <c r="AI158" s="523"/>
      <c r="AJ158" s="523"/>
      <c r="AK158" s="523"/>
      <c r="AL158" s="523"/>
      <c r="AM158" s="523"/>
      <c r="AN158" s="523"/>
      <c r="AO158" s="523"/>
      <c r="AP158" s="523"/>
      <c r="AQ158" s="523"/>
      <c r="AR158" s="523"/>
      <c r="AS158" s="523"/>
      <c r="AT158" s="524"/>
      <c r="AW158" s="481"/>
      <c r="AX158" s="479"/>
      <c r="AY158" s="479"/>
      <c r="AZ158" s="479"/>
      <c r="BA158" s="479"/>
      <c r="BB158" s="479"/>
      <c r="BC158" s="479"/>
      <c r="BD158" s="479"/>
      <c r="BE158" s="479"/>
      <c r="BF158" s="479"/>
      <c r="BG158" s="479"/>
      <c r="BH158" s="479"/>
      <c r="BI158" s="479"/>
      <c r="BJ158" s="482"/>
    </row>
    <row r="159" spans="1:62" ht="12">
      <c r="A159" s="50" t="s">
        <v>264</v>
      </c>
      <c r="B159" s="51"/>
      <c r="C159" s="51"/>
      <c r="D159" s="51"/>
      <c r="E159" s="51"/>
      <c r="F159" s="51"/>
      <c r="G159" s="51"/>
      <c r="H159" s="51"/>
      <c r="I159" s="51"/>
      <c r="J159" s="51"/>
      <c r="K159" s="51"/>
      <c r="L159" s="51"/>
      <c r="M159" s="51"/>
      <c r="N159" s="51"/>
      <c r="O159" s="51"/>
      <c r="P159" s="51"/>
      <c r="Q159" s="51"/>
      <c r="R159" s="51"/>
      <c r="S159" s="52"/>
      <c r="AB159" s="522"/>
      <c r="AC159" s="523"/>
      <c r="AD159" s="523"/>
      <c r="AE159" s="523"/>
      <c r="AF159" s="523"/>
      <c r="AG159" s="523"/>
      <c r="AH159" s="523"/>
      <c r="AI159" s="523"/>
      <c r="AJ159" s="523"/>
      <c r="AK159" s="523"/>
      <c r="AL159" s="523"/>
      <c r="AM159" s="523"/>
      <c r="AN159" s="523"/>
      <c r="AO159" s="523"/>
      <c r="AP159" s="523"/>
      <c r="AQ159" s="523"/>
      <c r="AR159" s="523"/>
      <c r="AS159" s="523"/>
      <c r="AT159" s="524"/>
      <c r="AW159" s="481"/>
      <c r="AX159" s="479"/>
      <c r="AY159" s="479"/>
      <c r="AZ159" s="479"/>
      <c r="BA159" s="479"/>
      <c r="BB159" s="479"/>
      <c r="BC159" s="479"/>
      <c r="BD159" s="479"/>
      <c r="BE159" s="479"/>
      <c r="BF159" s="479"/>
      <c r="BG159" s="479"/>
      <c r="BH159" s="479"/>
      <c r="BI159" s="479"/>
      <c r="BJ159" s="482"/>
    </row>
    <row r="160" spans="1:62" ht="12">
      <c r="A160" s="50" t="s">
        <v>265</v>
      </c>
      <c r="B160" s="51"/>
      <c r="C160" s="51"/>
      <c r="D160" s="51"/>
      <c r="E160" s="51"/>
      <c r="F160" s="51"/>
      <c r="G160" s="51"/>
      <c r="H160" s="51"/>
      <c r="I160" s="51"/>
      <c r="J160" s="51"/>
      <c r="K160" s="51"/>
      <c r="L160" s="51"/>
      <c r="M160" s="51"/>
      <c r="N160" s="51"/>
      <c r="O160" s="51"/>
      <c r="P160" s="51"/>
      <c r="Q160" s="51"/>
      <c r="R160" s="51"/>
      <c r="S160" s="52"/>
      <c r="AB160" s="522"/>
      <c r="AC160" s="523"/>
      <c r="AD160" s="523"/>
      <c r="AE160" s="523"/>
      <c r="AF160" s="523"/>
      <c r="AG160" s="523"/>
      <c r="AH160" s="523"/>
      <c r="AI160" s="523"/>
      <c r="AJ160" s="523"/>
      <c r="AK160" s="523"/>
      <c r="AL160" s="523"/>
      <c r="AM160" s="523"/>
      <c r="AN160" s="523"/>
      <c r="AO160" s="523"/>
      <c r="AP160" s="523"/>
      <c r="AQ160" s="523"/>
      <c r="AR160" s="523"/>
      <c r="AS160" s="523"/>
      <c r="AT160" s="524"/>
      <c r="AW160" s="481"/>
      <c r="AX160" s="479"/>
      <c r="AY160" s="479"/>
      <c r="AZ160" s="479"/>
      <c r="BA160" s="479"/>
      <c r="BB160" s="479"/>
      <c r="BC160" s="479"/>
      <c r="BD160" s="479"/>
      <c r="BE160" s="479"/>
      <c r="BF160" s="479"/>
      <c r="BG160" s="479"/>
      <c r="BH160" s="479"/>
      <c r="BI160" s="479"/>
      <c r="BJ160" s="482"/>
    </row>
    <row r="161" spans="1:62" ht="12">
      <c r="A161" s="50"/>
      <c r="B161" s="51"/>
      <c r="C161" s="51"/>
      <c r="D161" s="51"/>
      <c r="E161" s="51"/>
      <c r="F161" s="51"/>
      <c r="G161" s="51"/>
      <c r="H161" s="51"/>
      <c r="I161" s="51"/>
      <c r="J161" s="51"/>
      <c r="K161" s="51"/>
      <c r="L161" s="51"/>
      <c r="M161" s="51"/>
      <c r="N161" s="51"/>
      <c r="O161" s="51"/>
      <c r="P161" s="51"/>
      <c r="Q161" s="51"/>
      <c r="R161" s="51"/>
      <c r="S161" s="52"/>
      <c r="AB161" s="522"/>
      <c r="AC161" s="523"/>
      <c r="AD161" s="523"/>
      <c r="AE161" s="523"/>
      <c r="AF161" s="523"/>
      <c r="AG161" s="523"/>
      <c r="AH161" s="523"/>
      <c r="AI161" s="523"/>
      <c r="AJ161" s="523"/>
      <c r="AK161" s="523"/>
      <c r="AL161" s="523"/>
      <c r="AM161" s="523"/>
      <c r="AN161" s="523"/>
      <c r="AO161" s="523"/>
      <c r="AP161" s="523"/>
      <c r="AQ161" s="523"/>
      <c r="AR161" s="523"/>
      <c r="AS161" s="523"/>
      <c r="AT161" s="524"/>
      <c r="AW161" s="481"/>
      <c r="AX161" s="479"/>
      <c r="AY161" s="479"/>
      <c r="AZ161" s="479"/>
      <c r="BA161" s="479"/>
      <c r="BB161" s="479"/>
      <c r="BC161" s="479"/>
      <c r="BD161" s="479"/>
      <c r="BE161" s="479"/>
      <c r="BF161" s="479"/>
      <c r="BG161" s="479"/>
      <c r="BH161" s="479"/>
      <c r="BI161" s="479"/>
      <c r="BJ161" s="482"/>
    </row>
    <row r="162" spans="1:62" ht="12">
      <c r="A162" s="50" t="s">
        <v>828</v>
      </c>
      <c r="B162" s="51"/>
      <c r="C162" s="51"/>
      <c r="D162" s="51"/>
      <c r="E162" s="51"/>
      <c r="F162" s="51"/>
      <c r="G162" s="51"/>
      <c r="H162" s="51"/>
      <c r="I162" s="51"/>
      <c r="J162" s="51"/>
      <c r="K162" s="51"/>
      <c r="L162" s="51"/>
      <c r="M162" s="51"/>
      <c r="N162" s="51"/>
      <c r="O162" s="51"/>
      <c r="P162" s="51"/>
      <c r="Q162" s="51"/>
      <c r="R162" s="51"/>
      <c r="S162" s="52"/>
      <c r="AB162" s="522"/>
      <c r="AC162" s="523"/>
      <c r="AD162" s="523"/>
      <c r="AE162" s="523"/>
      <c r="AF162" s="523"/>
      <c r="AG162" s="523"/>
      <c r="AH162" s="523"/>
      <c r="AI162" s="523"/>
      <c r="AJ162" s="523"/>
      <c r="AK162" s="523"/>
      <c r="AL162" s="523"/>
      <c r="AM162" s="523"/>
      <c r="AN162" s="523"/>
      <c r="AO162" s="523"/>
      <c r="AP162" s="523"/>
      <c r="AQ162" s="523"/>
      <c r="AR162" s="523"/>
      <c r="AS162" s="523"/>
      <c r="AT162" s="524"/>
      <c r="AW162" s="481"/>
      <c r="AX162" s="479"/>
      <c r="AY162" s="479"/>
      <c r="AZ162" s="479"/>
      <c r="BA162" s="479"/>
      <c r="BB162" s="479"/>
      <c r="BC162" s="479"/>
      <c r="BD162" s="479"/>
      <c r="BE162" s="479"/>
      <c r="BF162" s="479"/>
      <c r="BG162" s="479"/>
      <c r="BH162" s="479"/>
      <c r="BI162" s="479"/>
      <c r="BJ162" s="482"/>
    </row>
    <row r="163" spans="1:62" ht="12">
      <c r="A163" s="50" t="s">
        <v>829</v>
      </c>
      <c r="B163" s="51"/>
      <c r="C163" s="51"/>
      <c r="D163" s="51"/>
      <c r="E163" s="51"/>
      <c r="F163" s="51"/>
      <c r="G163" s="51"/>
      <c r="H163" s="51"/>
      <c r="I163" s="51"/>
      <c r="J163" s="51"/>
      <c r="K163" s="51"/>
      <c r="L163" s="51"/>
      <c r="M163" s="51"/>
      <c r="N163" s="51"/>
      <c r="O163" s="51"/>
      <c r="P163" s="51"/>
      <c r="Q163" s="51"/>
      <c r="R163" s="51"/>
      <c r="S163" s="52"/>
      <c r="AB163" s="522"/>
      <c r="AC163" s="523"/>
      <c r="AD163" s="523"/>
      <c r="AE163" s="523"/>
      <c r="AF163" s="523"/>
      <c r="AG163" s="523"/>
      <c r="AH163" s="523"/>
      <c r="AI163" s="523"/>
      <c r="AJ163" s="523"/>
      <c r="AK163" s="523"/>
      <c r="AL163" s="523"/>
      <c r="AM163" s="523"/>
      <c r="AN163" s="523"/>
      <c r="AO163" s="523"/>
      <c r="AP163" s="523"/>
      <c r="AQ163" s="523"/>
      <c r="AR163" s="523"/>
      <c r="AS163" s="523"/>
      <c r="AT163" s="524"/>
      <c r="AW163" s="481"/>
      <c r="AX163" s="479"/>
      <c r="AY163" s="479"/>
      <c r="AZ163" s="479"/>
      <c r="BA163" s="479"/>
      <c r="BB163" s="479"/>
      <c r="BC163" s="479"/>
      <c r="BD163" s="479"/>
      <c r="BE163" s="479"/>
      <c r="BF163" s="479"/>
      <c r="BG163" s="479"/>
      <c r="BH163" s="479"/>
      <c r="BI163" s="479"/>
      <c r="BJ163" s="482"/>
    </row>
    <row r="164" spans="1:62" ht="12">
      <c r="A164" s="50" t="s">
        <v>830</v>
      </c>
      <c r="B164" s="51"/>
      <c r="C164" s="51"/>
      <c r="D164" s="51"/>
      <c r="E164" s="51"/>
      <c r="F164" s="51"/>
      <c r="G164" s="51"/>
      <c r="H164" s="51"/>
      <c r="I164" s="51"/>
      <c r="J164" s="51"/>
      <c r="K164" s="51"/>
      <c r="L164" s="51"/>
      <c r="M164" s="51"/>
      <c r="N164" s="51"/>
      <c r="O164" s="51"/>
      <c r="P164" s="51"/>
      <c r="Q164" s="51"/>
      <c r="R164" s="51"/>
      <c r="S164" s="52"/>
      <c r="AB164" s="522"/>
      <c r="AC164" s="523"/>
      <c r="AD164" s="523"/>
      <c r="AE164" s="523"/>
      <c r="AF164" s="523"/>
      <c r="AG164" s="523"/>
      <c r="AH164" s="523"/>
      <c r="AI164" s="523"/>
      <c r="AJ164" s="523"/>
      <c r="AK164" s="523"/>
      <c r="AL164" s="523"/>
      <c r="AM164" s="523"/>
      <c r="AN164" s="523"/>
      <c r="AO164" s="523"/>
      <c r="AP164" s="523"/>
      <c r="AQ164" s="523"/>
      <c r="AR164" s="523"/>
      <c r="AS164" s="523"/>
      <c r="AT164" s="524"/>
      <c r="AW164" s="481"/>
      <c r="AX164" s="479"/>
      <c r="AY164" s="479"/>
      <c r="AZ164" s="479"/>
      <c r="BA164" s="479"/>
      <c r="BB164" s="479"/>
      <c r="BC164" s="479"/>
      <c r="BD164" s="479"/>
      <c r="BE164" s="479"/>
      <c r="BF164" s="479"/>
      <c r="BG164" s="479"/>
      <c r="BH164" s="479"/>
      <c r="BI164" s="479"/>
      <c r="BJ164" s="482"/>
    </row>
    <row r="165" spans="1:62" ht="12">
      <c r="A165" s="50" t="s">
        <v>831</v>
      </c>
      <c r="B165" s="51"/>
      <c r="C165" s="51"/>
      <c r="D165" s="51"/>
      <c r="E165" s="51"/>
      <c r="F165" s="51"/>
      <c r="G165" s="51"/>
      <c r="H165" s="51"/>
      <c r="I165" s="51"/>
      <c r="J165" s="51"/>
      <c r="K165" s="51"/>
      <c r="L165" s="51"/>
      <c r="M165" s="51"/>
      <c r="N165" s="51"/>
      <c r="O165" s="51"/>
      <c r="P165" s="51"/>
      <c r="Q165" s="51"/>
      <c r="R165" s="51"/>
      <c r="S165" s="52"/>
      <c r="AB165" s="522"/>
      <c r="AC165" s="523"/>
      <c r="AD165" s="523"/>
      <c r="AE165" s="523"/>
      <c r="AF165" s="523"/>
      <c r="AG165" s="523"/>
      <c r="AH165" s="523"/>
      <c r="AI165" s="523"/>
      <c r="AJ165" s="523"/>
      <c r="AK165" s="523"/>
      <c r="AL165" s="523"/>
      <c r="AM165" s="523"/>
      <c r="AN165" s="523"/>
      <c r="AO165" s="523"/>
      <c r="AP165" s="523"/>
      <c r="AQ165" s="523"/>
      <c r="AR165" s="523"/>
      <c r="AS165" s="523"/>
      <c r="AT165" s="524"/>
      <c r="AW165" s="481"/>
      <c r="AX165" s="479"/>
      <c r="AY165" s="479"/>
      <c r="AZ165" s="479"/>
      <c r="BA165" s="479"/>
      <c r="BB165" s="479"/>
      <c r="BC165" s="479"/>
      <c r="BD165" s="479"/>
      <c r="BE165" s="479"/>
      <c r="BF165" s="479"/>
      <c r="BG165" s="479"/>
      <c r="BH165" s="479"/>
      <c r="BI165" s="479"/>
      <c r="BJ165" s="482"/>
    </row>
    <row r="166" spans="1:62" ht="12">
      <c r="A166" s="50" t="s">
        <v>832</v>
      </c>
      <c r="B166" s="51"/>
      <c r="C166" s="51"/>
      <c r="D166" s="51"/>
      <c r="E166" s="51"/>
      <c r="F166" s="51"/>
      <c r="G166" s="51"/>
      <c r="H166" s="51"/>
      <c r="I166" s="51"/>
      <c r="J166" s="51"/>
      <c r="K166" s="51"/>
      <c r="L166" s="51"/>
      <c r="M166" s="51"/>
      <c r="N166" s="51"/>
      <c r="O166" s="51"/>
      <c r="P166" s="51"/>
      <c r="Q166" s="51"/>
      <c r="R166" s="51"/>
      <c r="S166" s="52"/>
      <c r="AB166" s="522"/>
      <c r="AC166" s="523"/>
      <c r="AD166" s="523"/>
      <c r="AE166" s="523"/>
      <c r="AF166" s="523"/>
      <c r="AG166" s="523"/>
      <c r="AH166" s="523"/>
      <c r="AI166" s="523"/>
      <c r="AJ166" s="523"/>
      <c r="AK166" s="523"/>
      <c r="AL166" s="523"/>
      <c r="AM166" s="523"/>
      <c r="AN166" s="523"/>
      <c r="AO166" s="523"/>
      <c r="AP166" s="523"/>
      <c r="AQ166" s="523"/>
      <c r="AR166" s="523"/>
      <c r="AS166" s="523"/>
      <c r="AT166" s="524"/>
      <c r="AW166" s="481"/>
      <c r="AX166" s="479"/>
      <c r="AY166" s="479"/>
      <c r="AZ166" s="479"/>
      <c r="BA166" s="479"/>
      <c r="BB166" s="479"/>
      <c r="BC166" s="479"/>
      <c r="BD166" s="479"/>
      <c r="BE166" s="479"/>
      <c r="BF166" s="479"/>
      <c r="BG166" s="479"/>
      <c r="BH166" s="479"/>
      <c r="BI166" s="479"/>
      <c r="BJ166" s="482"/>
    </row>
    <row r="167" spans="1:62" ht="12">
      <c r="A167" s="50" t="s">
        <v>833</v>
      </c>
      <c r="B167" s="51"/>
      <c r="C167" s="51"/>
      <c r="D167" s="51"/>
      <c r="E167" s="51"/>
      <c r="F167" s="51"/>
      <c r="G167" s="51"/>
      <c r="H167" s="51"/>
      <c r="I167" s="51"/>
      <c r="J167" s="51"/>
      <c r="K167" s="51"/>
      <c r="L167" s="51"/>
      <c r="M167" s="51"/>
      <c r="N167" s="51"/>
      <c r="O167" s="51"/>
      <c r="P167" s="51"/>
      <c r="Q167" s="51"/>
      <c r="R167" s="51"/>
      <c r="S167" s="52"/>
      <c r="AB167" s="522"/>
      <c r="AC167" s="523"/>
      <c r="AD167" s="523"/>
      <c r="AE167" s="523"/>
      <c r="AF167" s="523"/>
      <c r="AG167" s="523"/>
      <c r="AH167" s="523"/>
      <c r="AI167" s="523"/>
      <c r="AJ167" s="523"/>
      <c r="AK167" s="523"/>
      <c r="AL167" s="523"/>
      <c r="AM167" s="523"/>
      <c r="AN167" s="523"/>
      <c r="AO167" s="523"/>
      <c r="AP167" s="523"/>
      <c r="AQ167" s="523"/>
      <c r="AR167" s="523"/>
      <c r="AS167" s="523"/>
      <c r="AT167" s="524"/>
      <c r="AW167" s="481"/>
      <c r="AX167" s="479"/>
      <c r="AY167" s="479"/>
      <c r="AZ167" s="479"/>
      <c r="BA167" s="479"/>
      <c r="BB167" s="479"/>
      <c r="BC167" s="479"/>
      <c r="BD167" s="479"/>
      <c r="BE167" s="479"/>
      <c r="BF167" s="479"/>
      <c r="BG167" s="479"/>
      <c r="BH167" s="479"/>
      <c r="BI167" s="479"/>
      <c r="BJ167" s="482"/>
    </row>
    <row r="168" spans="1:62" ht="12">
      <c r="A168" s="50" t="s">
        <v>834</v>
      </c>
      <c r="B168" s="51"/>
      <c r="C168" s="51"/>
      <c r="D168" s="51"/>
      <c r="E168" s="51"/>
      <c r="F168" s="51"/>
      <c r="G168" s="51"/>
      <c r="H168" s="51"/>
      <c r="I168" s="51"/>
      <c r="J168" s="51"/>
      <c r="K168" s="51"/>
      <c r="L168" s="51"/>
      <c r="M168" s="51"/>
      <c r="N168" s="51"/>
      <c r="O168" s="51"/>
      <c r="P168" s="51"/>
      <c r="Q168" s="51"/>
      <c r="R168" s="51"/>
      <c r="S168" s="52"/>
      <c r="AB168" s="522"/>
      <c r="AC168" s="523"/>
      <c r="AD168" s="523"/>
      <c r="AE168" s="523"/>
      <c r="AF168" s="523"/>
      <c r="AG168" s="523"/>
      <c r="AH168" s="523"/>
      <c r="AI168" s="523"/>
      <c r="AJ168" s="523"/>
      <c r="AK168" s="523"/>
      <c r="AL168" s="523"/>
      <c r="AM168" s="523"/>
      <c r="AN168" s="523"/>
      <c r="AO168" s="523"/>
      <c r="AP168" s="523"/>
      <c r="AQ168" s="523"/>
      <c r="AR168" s="523"/>
      <c r="AS168" s="523"/>
      <c r="AT168" s="524"/>
      <c r="AW168" s="481"/>
      <c r="AX168" s="479"/>
      <c r="AY168" s="479"/>
      <c r="AZ168" s="479"/>
      <c r="BA168" s="479"/>
      <c r="BB168" s="479"/>
      <c r="BC168" s="479"/>
      <c r="BD168" s="479"/>
      <c r="BE168" s="479"/>
      <c r="BF168" s="479"/>
      <c r="BG168" s="479"/>
      <c r="BH168" s="479"/>
      <c r="BI168" s="479"/>
      <c r="BJ168" s="482"/>
    </row>
    <row r="169" spans="1:62" ht="12">
      <c r="A169" s="50" t="s">
        <v>0</v>
      </c>
      <c r="B169" s="51"/>
      <c r="C169" s="51"/>
      <c r="D169" s="51"/>
      <c r="E169" s="51"/>
      <c r="F169" s="51"/>
      <c r="G169" s="51"/>
      <c r="H169" s="51"/>
      <c r="I169" s="51"/>
      <c r="J169" s="51"/>
      <c r="K169" s="51"/>
      <c r="L169" s="51"/>
      <c r="M169" s="51"/>
      <c r="N169" s="51"/>
      <c r="O169" s="51"/>
      <c r="P169" s="51"/>
      <c r="Q169" s="51"/>
      <c r="R169" s="51"/>
      <c r="S169" s="52"/>
      <c r="AB169" s="522"/>
      <c r="AC169" s="523"/>
      <c r="AD169" s="523"/>
      <c r="AE169" s="523"/>
      <c r="AF169" s="523"/>
      <c r="AG169" s="523"/>
      <c r="AH169" s="523"/>
      <c r="AI169" s="523"/>
      <c r="AJ169" s="523"/>
      <c r="AK169" s="523"/>
      <c r="AL169" s="523"/>
      <c r="AM169" s="523"/>
      <c r="AN169" s="523"/>
      <c r="AO169" s="523"/>
      <c r="AP169" s="523"/>
      <c r="AQ169" s="523"/>
      <c r="AR169" s="523"/>
      <c r="AS169" s="523"/>
      <c r="AT169" s="524"/>
      <c r="AW169" s="481"/>
      <c r="AX169" s="479"/>
      <c r="AY169" s="479"/>
      <c r="AZ169" s="479"/>
      <c r="BA169" s="479"/>
      <c r="BB169" s="479"/>
      <c r="BC169" s="479"/>
      <c r="BD169" s="479"/>
      <c r="BE169" s="479"/>
      <c r="BF169" s="479"/>
      <c r="BG169" s="479"/>
      <c r="BH169" s="479"/>
      <c r="BI169" s="479"/>
      <c r="BJ169" s="482"/>
    </row>
    <row r="170" spans="1:62" ht="12">
      <c r="A170" s="522"/>
      <c r="B170" s="523"/>
      <c r="C170" s="523"/>
      <c r="D170" s="523"/>
      <c r="E170" s="523"/>
      <c r="F170" s="523"/>
      <c r="G170" s="523"/>
      <c r="H170" s="523"/>
      <c r="I170" s="523"/>
      <c r="J170" s="523"/>
      <c r="K170" s="523"/>
      <c r="L170" s="523"/>
      <c r="M170" s="523"/>
      <c r="N170" s="523"/>
      <c r="O170" s="523"/>
      <c r="P170" s="523"/>
      <c r="Q170" s="523"/>
      <c r="R170" s="523"/>
      <c r="S170" s="524"/>
      <c r="AB170" s="522"/>
      <c r="AC170" s="523"/>
      <c r="AD170" s="523"/>
      <c r="AE170" s="523"/>
      <c r="AF170" s="523"/>
      <c r="AG170" s="523"/>
      <c r="AH170" s="523"/>
      <c r="AI170" s="523"/>
      <c r="AJ170" s="523"/>
      <c r="AK170" s="523"/>
      <c r="AL170" s="523"/>
      <c r="AM170" s="523"/>
      <c r="AN170" s="523"/>
      <c r="AO170" s="523"/>
      <c r="AP170" s="523"/>
      <c r="AQ170" s="523"/>
      <c r="AR170" s="523"/>
      <c r="AS170" s="523"/>
      <c r="AT170" s="524"/>
      <c r="AW170" s="481"/>
      <c r="AX170" s="479"/>
      <c r="AY170" s="479"/>
      <c r="AZ170" s="479"/>
      <c r="BA170" s="479"/>
      <c r="BB170" s="479"/>
      <c r="BC170" s="479"/>
      <c r="BD170" s="479"/>
      <c r="BE170" s="479"/>
      <c r="BF170" s="479"/>
      <c r="BG170" s="479"/>
      <c r="BH170" s="479"/>
      <c r="BI170" s="479"/>
      <c r="BJ170" s="482"/>
    </row>
    <row r="171" spans="1:62" ht="12">
      <c r="A171" s="522"/>
      <c r="B171" s="523"/>
      <c r="C171" s="523"/>
      <c r="D171" s="523"/>
      <c r="E171" s="523"/>
      <c r="F171" s="523"/>
      <c r="G171" s="523"/>
      <c r="H171" s="523"/>
      <c r="I171" s="523"/>
      <c r="J171" s="523"/>
      <c r="K171" s="523"/>
      <c r="L171" s="523"/>
      <c r="M171" s="523"/>
      <c r="N171" s="523"/>
      <c r="O171" s="523"/>
      <c r="P171" s="523"/>
      <c r="Q171" s="523"/>
      <c r="R171" s="523"/>
      <c r="S171" s="524"/>
      <c r="AB171" s="522"/>
      <c r="AC171" s="523"/>
      <c r="AD171" s="523"/>
      <c r="AE171" s="523"/>
      <c r="AF171" s="523"/>
      <c r="AG171" s="523"/>
      <c r="AH171" s="523"/>
      <c r="AI171" s="523"/>
      <c r="AJ171" s="523"/>
      <c r="AK171" s="523"/>
      <c r="AL171" s="523"/>
      <c r="AM171" s="523"/>
      <c r="AN171" s="523"/>
      <c r="AO171" s="523"/>
      <c r="AP171" s="523"/>
      <c r="AQ171" s="523"/>
      <c r="AR171" s="523"/>
      <c r="AS171" s="523"/>
      <c r="AT171" s="524"/>
      <c r="AW171" s="481"/>
      <c r="AX171" s="479"/>
      <c r="AY171" s="479"/>
      <c r="AZ171" s="479"/>
      <c r="BA171" s="479"/>
      <c r="BB171" s="479"/>
      <c r="BC171" s="479"/>
      <c r="BD171" s="479"/>
      <c r="BE171" s="479"/>
      <c r="BF171" s="479"/>
      <c r="BG171" s="479"/>
      <c r="BH171" s="479"/>
      <c r="BI171" s="479"/>
      <c r="BJ171" s="482"/>
    </row>
    <row r="172" spans="1:62" ht="12">
      <c r="A172" s="522"/>
      <c r="B172" s="523"/>
      <c r="C172" s="523"/>
      <c r="D172" s="523"/>
      <c r="E172" s="523"/>
      <c r="F172" s="523"/>
      <c r="G172" s="523"/>
      <c r="H172" s="523"/>
      <c r="I172" s="523"/>
      <c r="J172" s="523"/>
      <c r="K172" s="523"/>
      <c r="L172" s="523"/>
      <c r="M172" s="523"/>
      <c r="N172" s="523"/>
      <c r="O172" s="523"/>
      <c r="P172" s="523"/>
      <c r="Q172" s="523"/>
      <c r="R172" s="523"/>
      <c r="S172" s="524"/>
      <c r="AB172" s="522"/>
      <c r="AC172" s="523"/>
      <c r="AD172" s="523"/>
      <c r="AE172" s="523"/>
      <c r="AF172" s="523"/>
      <c r="AG172" s="523"/>
      <c r="AH172" s="523"/>
      <c r="AI172" s="523"/>
      <c r="AJ172" s="523"/>
      <c r="AK172" s="523"/>
      <c r="AL172" s="523"/>
      <c r="AM172" s="523"/>
      <c r="AN172" s="523"/>
      <c r="AO172" s="523"/>
      <c r="AP172" s="523"/>
      <c r="AQ172" s="523"/>
      <c r="AR172" s="523"/>
      <c r="AS172" s="523"/>
      <c r="AT172" s="524"/>
      <c r="AW172" s="481"/>
      <c r="AX172" s="479"/>
      <c r="AY172" s="479"/>
      <c r="AZ172" s="479"/>
      <c r="BA172" s="479"/>
      <c r="BB172" s="479"/>
      <c r="BC172" s="479"/>
      <c r="BD172" s="479"/>
      <c r="BE172" s="479"/>
      <c r="BF172" s="479"/>
      <c r="BG172" s="479"/>
      <c r="BH172" s="479"/>
      <c r="BI172" s="479"/>
      <c r="BJ172" s="482"/>
    </row>
    <row r="173" spans="1:62" ht="12">
      <c r="A173" s="522"/>
      <c r="B173" s="523"/>
      <c r="C173" s="523"/>
      <c r="D173" s="523"/>
      <c r="E173" s="523"/>
      <c r="F173" s="523"/>
      <c r="G173" s="523"/>
      <c r="H173" s="523"/>
      <c r="I173" s="523"/>
      <c r="J173" s="523"/>
      <c r="K173" s="523"/>
      <c r="L173" s="523"/>
      <c r="M173" s="523"/>
      <c r="N173" s="523"/>
      <c r="O173" s="523"/>
      <c r="P173" s="523"/>
      <c r="Q173" s="523"/>
      <c r="R173" s="523"/>
      <c r="S173" s="524"/>
      <c r="AB173" s="522"/>
      <c r="AC173" s="523"/>
      <c r="AD173" s="523"/>
      <c r="AE173" s="523"/>
      <c r="AF173" s="523"/>
      <c r="AG173" s="523"/>
      <c r="AH173" s="523"/>
      <c r="AI173" s="523"/>
      <c r="AJ173" s="523"/>
      <c r="AK173" s="523"/>
      <c r="AL173" s="523"/>
      <c r="AM173" s="523"/>
      <c r="AN173" s="523"/>
      <c r="AO173" s="523"/>
      <c r="AP173" s="523"/>
      <c r="AQ173" s="523"/>
      <c r="AR173" s="523"/>
      <c r="AS173" s="523"/>
      <c r="AT173" s="524"/>
      <c r="AW173" s="481"/>
      <c r="AX173" s="479"/>
      <c r="AY173" s="479"/>
      <c r="AZ173" s="479"/>
      <c r="BA173" s="479"/>
      <c r="BB173" s="479"/>
      <c r="BC173" s="479"/>
      <c r="BD173" s="479"/>
      <c r="BE173" s="479"/>
      <c r="BF173" s="479"/>
      <c r="BG173" s="479"/>
      <c r="BH173" s="479"/>
      <c r="BI173" s="479"/>
      <c r="BJ173" s="482"/>
    </row>
    <row r="174" spans="1:62" ht="12">
      <c r="A174" s="522"/>
      <c r="B174" s="523"/>
      <c r="C174" s="523"/>
      <c r="D174" s="523"/>
      <c r="E174" s="523"/>
      <c r="F174" s="523"/>
      <c r="G174" s="523"/>
      <c r="H174" s="523"/>
      <c r="I174" s="523"/>
      <c r="J174" s="523"/>
      <c r="K174" s="523"/>
      <c r="L174" s="523"/>
      <c r="M174" s="523"/>
      <c r="N174" s="523"/>
      <c r="O174" s="523"/>
      <c r="P174" s="523"/>
      <c r="Q174" s="523"/>
      <c r="R174" s="523"/>
      <c r="S174" s="524"/>
      <c r="AB174" s="522"/>
      <c r="AC174" s="523"/>
      <c r="AD174" s="523"/>
      <c r="AE174" s="523"/>
      <c r="AF174" s="523"/>
      <c r="AG174" s="523"/>
      <c r="AH174" s="523"/>
      <c r="AI174" s="523"/>
      <c r="AJ174" s="523"/>
      <c r="AK174" s="523"/>
      <c r="AL174" s="523"/>
      <c r="AM174" s="523"/>
      <c r="AN174" s="523"/>
      <c r="AO174" s="523"/>
      <c r="AP174" s="523"/>
      <c r="AQ174" s="523"/>
      <c r="AR174" s="523"/>
      <c r="AS174" s="523"/>
      <c r="AT174" s="524"/>
      <c r="AW174" s="481"/>
      <c r="AX174" s="479"/>
      <c r="AY174" s="479"/>
      <c r="AZ174" s="479"/>
      <c r="BA174" s="479"/>
      <c r="BB174" s="479"/>
      <c r="BC174" s="479"/>
      <c r="BD174" s="479"/>
      <c r="BE174" s="479"/>
      <c r="BF174" s="479"/>
      <c r="BG174" s="479"/>
      <c r="BH174" s="479"/>
      <c r="BI174" s="479"/>
      <c r="BJ174" s="482"/>
    </row>
    <row r="175" spans="1:62" ht="12">
      <c r="A175" s="522"/>
      <c r="B175" s="523"/>
      <c r="C175" s="523"/>
      <c r="D175" s="523"/>
      <c r="E175" s="523"/>
      <c r="F175" s="523"/>
      <c r="G175" s="523"/>
      <c r="H175" s="523"/>
      <c r="I175" s="523"/>
      <c r="J175" s="523"/>
      <c r="K175" s="523"/>
      <c r="L175" s="523"/>
      <c r="M175" s="523"/>
      <c r="N175" s="523"/>
      <c r="O175" s="523"/>
      <c r="P175" s="523"/>
      <c r="Q175" s="523"/>
      <c r="R175" s="523"/>
      <c r="S175" s="524"/>
      <c r="AB175" s="522"/>
      <c r="AC175" s="523"/>
      <c r="AD175" s="523"/>
      <c r="AE175" s="523"/>
      <c r="AF175" s="523"/>
      <c r="AG175" s="523"/>
      <c r="AH175" s="523"/>
      <c r="AI175" s="523"/>
      <c r="AJ175" s="523"/>
      <c r="AK175" s="523"/>
      <c r="AL175" s="523"/>
      <c r="AM175" s="523"/>
      <c r="AN175" s="523"/>
      <c r="AO175" s="523"/>
      <c r="AP175" s="523"/>
      <c r="AQ175" s="523"/>
      <c r="AR175" s="523"/>
      <c r="AS175" s="523"/>
      <c r="AT175" s="524"/>
      <c r="AW175" s="481"/>
      <c r="AX175" s="479"/>
      <c r="AY175" s="479"/>
      <c r="AZ175" s="479"/>
      <c r="BA175" s="479"/>
      <c r="BB175" s="479"/>
      <c r="BC175" s="479"/>
      <c r="BD175" s="479"/>
      <c r="BE175" s="479"/>
      <c r="BF175" s="479"/>
      <c r="BG175" s="479"/>
      <c r="BH175" s="479"/>
      <c r="BI175" s="479"/>
      <c r="BJ175" s="482"/>
    </row>
    <row r="176" spans="1:62" ht="12">
      <c r="A176" s="522"/>
      <c r="B176" s="523"/>
      <c r="C176" s="523"/>
      <c r="D176" s="523"/>
      <c r="E176" s="523"/>
      <c r="F176" s="523"/>
      <c r="G176" s="523"/>
      <c r="H176" s="523"/>
      <c r="I176" s="523"/>
      <c r="J176" s="523"/>
      <c r="K176" s="523"/>
      <c r="L176" s="523"/>
      <c r="M176" s="523"/>
      <c r="N176" s="523"/>
      <c r="O176" s="523"/>
      <c r="P176" s="523"/>
      <c r="Q176" s="523"/>
      <c r="R176" s="523"/>
      <c r="S176" s="524"/>
      <c r="AB176" s="522"/>
      <c r="AC176" s="523"/>
      <c r="AD176" s="523"/>
      <c r="AE176" s="523"/>
      <c r="AF176" s="523"/>
      <c r="AG176" s="523"/>
      <c r="AH176" s="523"/>
      <c r="AI176" s="523"/>
      <c r="AJ176" s="523"/>
      <c r="AK176" s="523"/>
      <c r="AL176" s="523"/>
      <c r="AM176" s="523"/>
      <c r="AN176" s="523"/>
      <c r="AO176" s="523"/>
      <c r="AP176" s="523"/>
      <c r="AQ176" s="523"/>
      <c r="AR176" s="523"/>
      <c r="AS176" s="523"/>
      <c r="AT176" s="524"/>
      <c r="AW176" s="481"/>
      <c r="AX176" s="479"/>
      <c r="AY176" s="479"/>
      <c r="AZ176" s="479"/>
      <c r="BA176" s="479"/>
      <c r="BB176" s="479"/>
      <c r="BC176" s="479"/>
      <c r="BD176" s="479"/>
      <c r="BE176" s="479"/>
      <c r="BF176" s="479"/>
      <c r="BG176" s="479"/>
      <c r="BH176" s="479"/>
      <c r="BI176" s="479"/>
      <c r="BJ176" s="482"/>
    </row>
    <row r="177" spans="1:62" ht="12">
      <c r="A177" s="522"/>
      <c r="B177" s="523"/>
      <c r="C177" s="523"/>
      <c r="D177" s="523"/>
      <c r="E177" s="523"/>
      <c r="F177" s="523"/>
      <c r="G177" s="523"/>
      <c r="H177" s="523"/>
      <c r="I177" s="523"/>
      <c r="J177" s="523"/>
      <c r="K177" s="523"/>
      <c r="L177" s="523"/>
      <c r="M177" s="523"/>
      <c r="N177" s="523"/>
      <c r="O177" s="523"/>
      <c r="P177" s="523"/>
      <c r="Q177" s="523"/>
      <c r="R177" s="523"/>
      <c r="S177" s="524"/>
      <c r="AB177" s="522"/>
      <c r="AC177" s="523"/>
      <c r="AD177" s="523"/>
      <c r="AE177" s="523"/>
      <c r="AF177" s="523"/>
      <c r="AG177" s="523"/>
      <c r="AH177" s="523"/>
      <c r="AI177" s="523"/>
      <c r="AJ177" s="523"/>
      <c r="AK177" s="523"/>
      <c r="AL177" s="523"/>
      <c r="AM177" s="523"/>
      <c r="AN177" s="523"/>
      <c r="AO177" s="523"/>
      <c r="AP177" s="523"/>
      <c r="AQ177" s="523"/>
      <c r="AR177" s="523"/>
      <c r="AS177" s="523"/>
      <c r="AT177" s="524"/>
      <c r="AW177" s="481"/>
      <c r="AX177" s="479"/>
      <c r="AY177" s="479"/>
      <c r="AZ177" s="479"/>
      <c r="BA177" s="479"/>
      <c r="BB177" s="479"/>
      <c r="BC177" s="479"/>
      <c r="BD177" s="479"/>
      <c r="BE177" s="479"/>
      <c r="BF177" s="479"/>
      <c r="BG177" s="479"/>
      <c r="BH177" s="479"/>
      <c r="BI177" s="479"/>
      <c r="BJ177" s="482"/>
    </row>
    <row r="178" spans="1:62" ht="12">
      <c r="A178" s="522"/>
      <c r="B178" s="523"/>
      <c r="C178" s="523"/>
      <c r="D178" s="523"/>
      <c r="E178" s="523"/>
      <c r="F178" s="523"/>
      <c r="G178" s="523"/>
      <c r="H178" s="523"/>
      <c r="I178" s="523"/>
      <c r="J178" s="523"/>
      <c r="K178" s="523"/>
      <c r="L178" s="523"/>
      <c r="M178" s="523"/>
      <c r="N178" s="523"/>
      <c r="O178" s="523"/>
      <c r="P178" s="523"/>
      <c r="Q178" s="523"/>
      <c r="R178" s="523"/>
      <c r="S178" s="524"/>
      <c r="AB178" s="522"/>
      <c r="AC178" s="523"/>
      <c r="AD178" s="523"/>
      <c r="AE178" s="523"/>
      <c r="AF178" s="523"/>
      <c r="AG178" s="523"/>
      <c r="AH178" s="523"/>
      <c r="AI178" s="523"/>
      <c r="AJ178" s="523"/>
      <c r="AK178" s="523"/>
      <c r="AL178" s="523"/>
      <c r="AM178" s="523"/>
      <c r="AN178" s="523"/>
      <c r="AO178" s="523"/>
      <c r="AP178" s="523"/>
      <c r="AQ178" s="523"/>
      <c r="AR178" s="523"/>
      <c r="AS178" s="523"/>
      <c r="AT178" s="524"/>
      <c r="AW178" s="481"/>
      <c r="AX178" s="479"/>
      <c r="AY178" s="479"/>
      <c r="AZ178" s="479"/>
      <c r="BA178" s="479"/>
      <c r="BB178" s="479"/>
      <c r="BC178" s="479"/>
      <c r="BD178" s="479"/>
      <c r="BE178" s="479"/>
      <c r="BF178" s="479"/>
      <c r="BG178" s="479"/>
      <c r="BH178" s="479"/>
      <c r="BI178" s="479"/>
      <c r="BJ178" s="482"/>
    </row>
    <row r="179" spans="1:62" ht="12">
      <c r="A179" s="522"/>
      <c r="B179" s="523"/>
      <c r="C179" s="523"/>
      <c r="D179" s="523"/>
      <c r="E179" s="523"/>
      <c r="F179" s="523"/>
      <c r="G179" s="523"/>
      <c r="H179" s="523"/>
      <c r="I179" s="523"/>
      <c r="J179" s="523"/>
      <c r="K179" s="523"/>
      <c r="L179" s="523"/>
      <c r="M179" s="523"/>
      <c r="N179" s="523"/>
      <c r="O179" s="523"/>
      <c r="P179" s="523"/>
      <c r="Q179" s="523"/>
      <c r="R179" s="523"/>
      <c r="S179" s="524"/>
      <c r="AB179" s="522"/>
      <c r="AC179" s="523"/>
      <c r="AD179" s="523"/>
      <c r="AE179" s="523"/>
      <c r="AF179" s="523"/>
      <c r="AG179" s="523"/>
      <c r="AH179" s="523"/>
      <c r="AI179" s="523"/>
      <c r="AJ179" s="523"/>
      <c r="AK179" s="523"/>
      <c r="AL179" s="523"/>
      <c r="AM179" s="523"/>
      <c r="AN179" s="523"/>
      <c r="AO179" s="523"/>
      <c r="AP179" s="523"/>
      <c r="AQ179" s="523"/>
      <c r="AR179" s="523"/>
      <c r="AS179" s="523"/>
      <c r="AT179" s="524"/>
      <c r="AW179" s="481"/>
      <c r="AX179" s="479"/>
      <c r="AY179" s="479"/>
      <c r="AZ179" s="479"/>
      <c r="BA179" s="479"/>
      <c r="BB179" s="479"/>
      <c r="BC179" s="479"/>
      <c r="BD179" s="479"/>
      <c r="BE179" s="479"/>
      <c r="BF179" s="479"/>
      <c r="BG179" s="479"/>
      <c r="BH179" s="479"/>
      <c r="BI179" s="479"/>
      <c r="BJ179" s="482"/>
    </row>
    <row r="180" spans="1:62" ht="12">
      <c r="A180" s="522"/>
      <c r="B180" s="523"/>
      <c r="C180" s="523"/>
      <c r="D180" s="523"/>
      <c r="E180" s="523"/>
      <c r="F180" s="523"/>
      <c r="G180" s="523"/>
      <c r="H180" s="523"/>
      <c r="I180" s="523"/>
      <c r="J180" s="523"/>
      <c r="K180" s="523"/>
      <c r="L180" s="523"/>
      <c r="M180" s="523"/>
      <c r="N180" s="523"/>
      <c r="O180" s="523"/>
      <c r="P180" s="523"/>
      <c r="Q180" s="523"/>
      <c r="R180" s="523"/>
      <c r="S180" s="524"/>
      <c r="AB180" s="522"/>
      <c r="AC180" s="523"/>
      <c r="AD180" s="523"/>
      <c r="AE180" s="523"/>
      <c r="AF180" s="523"/>
      <c r="AG180" s="523"/>
      <c r="AH180" s="523"/>
      <c r="AI180" s="523"/>
      <c r="AJ180" s="523"/>
      <c r="AK180" s="523"/>
      <c r="AL180" s="523"/>
      <c r="AM180" s="523"/>
      <c r="AN180" s="523"/>
      <c r="AO180" s="523"/>
      <c r="AP180" s="523"/>
      <c r="AQ180" s="523"/>
      <c r="AR180" s="523"/>
      <c r="AS180" s="523"/>
      <c r="AT180" s="524"/>
      <c r="AW180" s="481"/>
      <c r="AX180" s="479"/>
      <c r="AY180" s="479"/>
      <c r="AZ180" s="479"/>
      <c r="BA180" s="479"/>
      <c r="BB180" s="479"/>
      <c r="BC180" s="479"/>
      <c r="BD180" s="479"/>
      <c r="BE180" s="479"/>
      <c r="BF180" s="479"/>
      <c r="BG180" s="479"/>
      <c r="BH180" s="479"/>
      <c r="BI180" s="479"/>
      <c r="BJ180" s="482"/>
    </row>
    <row r="181" spans="1:62" ht="12">
      <c r="A181" s="522"/>
      <c r="B181" s="523"/>
      <c r="C181" s="523"/>
      <c r="D181" s="523"/>
      <c r="E181" s="523"/>
      <c r="F181" s="523"/>
      <c r="G181" s="523"/>
      <c r="H181" s="523"/>
      <c r="I181" s="523"/>
      <c r="J181" s="523"/>
      <c r="K181" s="523"/>
      <c r="L181" s="523"/>
      <c r="M181" s="523"/>
      <c r="N181" s="523"/>
      <c r="O181" s="523"/>
      <c r="P181" s="523"/>
      <c r="Q181" s="523"/>
      <c r="R181" s="523"/>
      <c r="S181" s="524"/>
      <c r="AB181" s="522"/>
      <c r="AC181" s="523"/>
      <c r="AD181" s="523"/>
      <c r="AE181" s="523"/>
      <c r="AF181" s="523"/>
      <c r="AG181" s="523"/>
      <c r="AH181" s="523"/>
      <c r="AI181" s="523"/>
      <c r="AJ181" s="523"/>
      <c r="AK181" s="523"/>
      <c r="AL181" s="523"/>
      <c r="AM181" s="523"/>
      <c r="AN181" s="523"/>
      <c r="AO181" s="523"/>
      <c r="AP181" s="523"/>
      <c r="AQ181" s="523"/>
      <c r="AR181" s="523"/>
      <c r="AS181" s="523"/>
      <c r="AT181" s="524"/>
      <c r="AW181" s="481"/>
      <c r="AX181" s="479"/>
      <c r="AY181" s="479"/>
      <c r="AZ181" s="479"/>
      <c r="BA181" s="479"/>
      <c r="BB181" s="479"/>
      <c r="BC181" s="479"/>
      <c r="BD181" s="479"/>
      <c r="BE181" s="479"/>
      <c r="BF181" s="479"/>
      <c r="BG181" s="479"/>
      <c r="BH181" s="479"/>
      <c r="BI181" s="479"/>
      <c r="BJ181" s="482"/>
    </row>
    <row r="182" spans="1:62" ht="12">
      <c r="A182" s="522"/>
      <c r="B182" s="523"/>
      <c r="C182" s="523"/>
      <c r="D182" s="523"/>
      <c r="E182" s="523"/>
      <c r="F182" s="523"/>
      <c r="G182" s="523"/>
      <c r="H182" s="523"/>
      <c r="I182" s="523"/>
      <c r="J182" s="523"/>
      <c r="K182" s="523"/>
      <c r="L182" s="523"/>
      <c r="M182" s="523"/>
      <c r="N182" s="523"/>
      <c r="O182" s="523"/>
      <c r="P182" s="523"/>
      <c r="Q182" s="523"/>
      <c r="R182" s="523"/>
      <c r="S182" s="524"/>
      <c r="AB182" s="522"/>
      <c r="AC182" s="523"/>
      <c r="AD182" s="523"/>
      <c r="AE182" s="523"/>
      <c r="AF182" s="523"/>
      <c r="AG182" s="523"/>
      <c r="AH182" s="523"/>
      <c r="AI182" s="523"/>
      <c r="AJ182" s="523"/>
      <c r="AK182" s="523"/>
      <c r="AL182" s="523"/>
      <c r="AM182" s="523"/>
      <c r="AN182" s="523"/>
      <c r="AO182" s="523"/>
      <c r="AP182" s="523"/>
      <c r="AQ182" s="523"/>
      <c r="AR182" s="523"/>
      <c r="AS182" s="523"/>
      <c r="AT182" s="524"/>
      <c r="AW182" s="481"/>
      <c r="AX182" s="479"/>
      <c r="AY182" s="479"/>
      <c r="AZ182" s="479"/>
      <c r="BA182" s="479"/>
      <c r="BB182" s="479"/>
      <c r="BC182" s="479"/>
      <c r="BD182" s="479"/>
      <c r="BE182" s="479"/>
      <c r="BF182" s="479"/>
      <c r="BG182" s="479"/>
      <c r="BH182" s="479"/>
      <c r="BI182" s="479"/>
      <c r="BJ182" s="482"/>
    </row>
    <row r="183" spans="1:62" ht="12">
      <c r="A183" s="522"/>
      <c r="B183" s="523"/>
      <c r="C183" s="523"/>
      <c r="D183" s="523"/>
      <c r="E183" s="523"/>
      <c r="F183" s="523"/>
      <c r="G183" s="523"/>
      <c r="H183" s="523"/>
      <c r="I183" s="523"/>
      <c r="J183" s="523"/>
      <c r="K183" s="523"/>
      <c r="L183" s="523"/>
      <c r="M183" s="523"/>
      <c r="N183" s="523"/>
      <c r="O183" s="523"/>
      <c r="P183" s="523"/>
      <c r="Q183" s="523"/>
      <c r="R183" s="523"/>
      <c r="S183" s="524"/>
      <c r="AB183" s="522"/>
      <c r="AC183" s="523"/>
      <c r="AD183" s="523"/>
      <c r="AE183" s="523"/>
      <c r="AF183" s="523"/>
      <c r="AG183" s="523"/>
      <c r="AH183" s="523"/>
      <c r="AI183" s="523"/>
      <c r="AJ183" s="523"/>
      <c r="AK183" s="523"/>
      <c r="AL183" s="523"/>
      <c r="AM183" s="523"/>
      <c r="AN183" s="523"/>
      <c r="AO183" s="523"/>
      <c r="AP183" s="523"/>
      <c r="AQ183" s="523"/>
      <c r="AR183" s="523"/>
      <c r="AS183" s="523"/>
      <c r="AT183" s="524"/>
      <c r="AW183" s="481"/>
      <c r="AX183" s="479"/>
      <c r="AY183" s="479"/>
      <c r="AZ183" s="479"/>
      <c r="BA183" s="479"/>
      <c r="BB183" s="479"/>
      <c r="BC183" s="479"/>
      <c r="BD183" s="479"/>
      <c r="BE183" s="479"/>
      <c r="BF183" s="479"/>
      <c r="BG183" s="479"/>
      <c r="BH183" s="479"/>
      <c r="BI183" s="479"/>
      <c r="BJ183" s="482"/>
    </row>
    <row r="184" spans="1:62" ht="12">
      <c r="A184" s="522"/>
      <c r="B184" s="523"/>
      <c r="C184" s="523"/>
      <c r="D184" s="523"/>
      <c r="E184" s="523"/>
      <c r="F184" s="523"/>
      <c r="G184" s="523"/>
      <c r="H184" s="523"/>
      <c r="I184" s="523"/>
      <c r="J184" s="523"/>
      <c r="K184" s="523"/>
      <c r="L184" s="523"/>
      <c r="M184" s="523"/>
      <c r="N184" s="523"/>
      <c r="O184" s="523"/>
      <c r="P184" s="523"/>
      <c r="Q184" s="523"/>
      <c r="R184" s="523"/>
      <c r="S184" s="524"/>
      <c r="AB184" s="522"/>
      <c r="AC184" s="523"/>
      <c r="AD184" s="523"/>
      <c r="AE184" s="523"/>
      <c r="AF184" s="523"/>
      <c r="AG184" s="523"/>
      <c r="AH184" s="523"/>
      <c r="AI184" s="523"/>
      <c r="AJ184" s="523"/>
      <c r="AK184" s="523"/>
      <c r="AL184" s="523"/>
      <c r="AM184" s="523"/>
      <c r="AN184" s="523"/>
      <c r="AO184" s="523"/>
      <c r="AP184" s="523"/>
      <c r="AQ184" s="523"/>
      <c r="AR184" s="523"/>
      <c r="AS184" s="523"/>
      <c r="AT184" s="524"/>
      <c r="AW184" s="481"/>
      <c r="AX184" s="479"/>
      <c r="AY184" s="479"/>
      <c r="AZ184" s="479"/>
      <c r="BA184" s="479"/>
      <c r="BB184" s="479"/>
      <c r="BC184" s="479"/>
      <c r="BD184" s="479"/>
      <c r="BE184" s="479"/>
      <c r="BF184" s="479"/>
      <c r="BG184" s="479"/>
      <c r="BH184" s="479"/>
      <c r="BI184" s="479"/>
      <c r="BJ184" s="482"/>
    </row>
    <row r="185" spans="1:62" ht="12">
      <c r="A185" s="522"/>
      <c r="B185" s="523"/>
      <c r="C185" s="523"/>
      <c r="D185" s="523"/>
      <c r="E185" s="523"/>
      <c r="F185" s="523"/>
      <c r="G185" s="523"/>
      <c r="H185" s="523"/>
      <c r="I185" s="523"/>
      <c r="J185" s="523"/>
      <c r="K185" s="523"/>
      <c r="L185" s="523"/>
      <c r="M185" s="523"/>
      <c r="N185" s="523"/>
      <c r="O185" s="523"/>
      <c r="P185" s="523"/>
      <c r="Q185" s="523"/>
      <c r="R185" s="523"/>
      <c r="S185" s="524"/>
      <c r="AB185" s="522"/>
      <c r="AC185" s="523"/>
      <c r="AD185" s="523"/>
      <c r="AE185" s="523"/>
      <c r="AF185" s="523"/>
      <c r="AG185" s="523"/>
      <c r="AH185" s="523"/>
      <c r="AI185" s="523"/>
      <c r="AJ185" s="523"/>
      <c r="AK185" s="523"/>
      <c r="AL185" s="523"/>
      <c r="AM185" s="523"/>
      <c r="AN185" s="523"/>
      <c r="AO185" s="523"/>
      <c r="AP185" s="523"/>
      <c r="AQ185" s="523"/>
      <c r="AR185" s="523"/>
      <c r="AS185" s="523"/>
      <c r="AT185" s="524"/>
      <c r="AW185" s="481"/>
      <c r="AX185" s="479"/>
      <c r="AY185" s="479"/>
      <c r="AZ185" s="479"/>
      <c r="BA185" s="479"/>
      <c r="BB185" s="479"/>
      <c r="BC185" s="479"/>
      <c r="BD185" s="479"/>
      <c r="BE185" s="479"/>
      <c r="BF185" s="479"/>
      <c r="BG185" s="479"/>
      <c r="BH185" s="479"/>
      <c r="BI185" s="479"/>
      <c r="BJ185" s="482"/>
    </row>
    <row r="186" spans="1:62" ht="12">
      <c r="A186" s="522"/>
      <c r="B186" s="523"/>
      <c r="C186" s="523"/>
      <c r="D186" s="523"/>
      <c r="E186" s="523"/>
      <c r="F186" s="523"/>
      <c r="G186" s="523"/>
      <c r="H186" s="523"/>
      <c r="I186" s="523"/>
      <c r="J186" s="523"/>
      <c r="K186" s="523"/>
      <c r="L186" s="523"/>
      <c r="M186" s="523"/>
      <c r="N186" s="523"/>
      <c r="O186" s="523"/>
      <c r="P186" s="523"/>
      <c r="Q186" s="523"/>
      <c r="R186" s="523"/>
      <c r="S186" s="524"/>
      <c r="AB186" s="522"/>
      <c r="AC186" s="523"/>
      <c r="AD186" s="523"/>
      <c r="AE186" s="523"/>
      <c r="AF186" s="523"/>
      <c r="AG186" s="523"/>
      <c r="AH186" s="523"/>
      <c r="AI186" s="523"/>
      <c r="AJ186" s="523"/>
      <c r="AK186" s="523"/>
      <c r="AL186" s="523"/>
      <c r="AM186" s="523"/>
      <c r="AN186" s="523"/>
      <c r="AO186" s="523"/>
      <c r="AP186" s="523"/>
      <c r="AQ186" s="523"/>
      <c r="AR186" s="523"/>
      <c r="AS186" s="523"/>
      <c r="AT186" s="524"/>
      <c r="AW186" s="481"/>
      <c r="AX186" s="479"/>
      <c r="AY186" s="479"/>
      <c r="AZ186" s="479"/>
      <c r="BA186" s="479"/>
      <c r="BB186" s="479"/>
      <c r="BC186" s="479"/>
      <c r="BD186" s="479"/>
      <c r="BE186" s="479"/>
      <c r="BF186" s="479"/>
      <c r="BG186" s="479"/>
      <c r="BH186" s="479"/>
      <c r="BI186" s="479"/>
      <c r="BJ186" s="482"/>
    </row>
    <row r="187" spans="1:62" ht="12">
      <c r="A187" s="522"/>
      <c r="B187" s="523"/>
      <c r="C187" s="523"/>
      <c r="D187" s="523"/>
      <c r="E187" s="523"/>
      <c r="F187" s="523"/>
      <c r="G187" s="523"/>
      <c r="H187" s="523"/>
      <c r="I187" s="523"/>
      <c r="J187" s="523"/>
      <c r="K187" s="523"/>
      <c r="L187" s="523"/>
      <c r="M187" s="523"/>
      <c r="N187" s="523"/>
      <c r="O187" s="523"/>
      <c r="P187" s="523"/>
      <c r="Q187" s="523"/>
      <c r="R187" s="523"/>
      <c r="S187" s="524"/>
      <c r="AB187" s="522"/>
      <c r="AC187" s="523"/>
      <c r="AD187" s="523"/>
      <c r="AE187" s="523"/>
      <c r="AF187" s="523"/>
      <c r="AG187" s="523"/>
      <c r="AH187" s="523"/>
      <c r="AI187" s="523"/>
      <c r="AJ187" s="523"/>
      <c r="AK187" s="523"/>
      <c r="AL187" s="523"/>
      <c r="AM187" s="523"/>
      <c r="AN187" s="523"/>
      <c r="AO187" s="523"/>
      <c r="AP187" s="523"/>
      <c r="AQ187" s="523"/>
      <c r="AR187" s="523"/>
      <c r="AS187" s="523"/>
      <c r="AT187" s="524"/>
      <c r="AW187" s="481"/>
      <c r="AX187" s="479"/>
      <c r="AY187" s="479"/>
      <c r="AZ187" s="479"/>
      <c r="BA187" s="479"/>
      <c r="BB187" s="479"/>
      <c r="BC187" s="479"/>
      <c r="BD187" s="479"/>
      <c r="BE187" s="479"/>
      <c r="BF187" s="479"/>
      <c r="BG187" s="479"/>
      <c r="BH187" s="479"/>
      <c r="BI187" s="479"/>
      <c r="BJ187" s="482"/>
    </row>
    <row r="188" spans="1:62" ht="12">
      <c r="A188" s="522"/>
      <c r="B188" s="523"/>
      <c r="C188" s="523"/>
      <c r="D188" s="523"/>
      <c r="E188" s="523"/>
      <c r="F188" s="523"/>
      <c r="G188" s="523"/>
      <c r="H188" s="523"/>
      <c r="I188" s="523"/>
      <c r="J188" s="523"/>
      <c r="K188" s="523"/>
      <c r="L188" s="523"/>
      <c r="M188" s="523"/>
      <c r="N188" s="523"/>
      <c r="O188" s="523"/>
      <c r="P188" s="523"/>
      <c r="Q188" s="523"/>
      <c r="R188" s="523"/>
      <c r="S188" s="524"/>
      <c r="AB188" s="522"/>
      <c r="AC188" s="523"/>
      <c r="AD188" s="523"/>
      <c r="AE188" s="523"/>
      <c r="AF188" s="523"/>
      <c r="AG188" s="523"/>
      <c r="AH188" s="523"/>
      <c r="AI188" s="523"/>
      <c r="AJ188" s="523"/>
      <c r="AK188" s="523"/>
      <c r="AL188" s="523"/>
      <c r="AM188" s="523"/>
      <c r="AN188" s="523"/>
      <c r="AO188" s="523"/>
      <c r="AP188" s="523"/>
      <c r="AQ188" s="523"/>
      <c r="AR188" s="523"/>
      <c r="AS188" s="523"/>
      <c r="AT188" s="524"/>
      <c r="AW188" s="481"/>
      <c r="AX188" s="479"/>
      <c r="AY188" s="479"/>
      <c r="AZ188" s="479"/>
      <c r="BA188" s="479"/>
      <c r="BB188" s="479"/>
      <c r="BC188" s="479"/>
      <c r="BD188" s="479"/>
      <c r="BE188" s="479"/>
      <c r="BF188" s="479"/>
      <c r="BG188" s="479"/>
      <c r="BH188" s="479"/>
      <c r="BI188" s="479"/>
      <c r="BJ188" s="482"/>
    </row>
    <row r="189" spans="1:62" ht="12">
      <c r="A189" s="522"/>
      <c r="B189" s="523"/>
      <c r="C189" s="523"/>
      <c r="D189" s="523"/>
      <c r="E189" s="523"/>
      <c r="F189" s="523"/>
      <c r="G189" s="523"/>
      <c r="H189" s="523"/>
      <c r="I189" s="523"/>
      <c r="J189" s="523"/>
      <c r="K189" s="523"/>
      <c r="L189" s="523"/>
      <c r="M189" s="523"/>
      <c r="N189" s="523"/>
      <c r="O189" s="523"/>
      <c r="P189" s="523"/>
      <c r="Q189" s="523"/>
      <c r="R189" s="523"/>
      <c r="S189" s="524"/>
      <c r="AB189" s="522"/>
      <c r="AC189" s="523"/>
      <c r="AD189" s="523"/>
      <c r="AE189" s="523"/>
      <c r="AF189" s="523"/>
      <c r="AG189" s="523"/>
      <c r="AH189" s="523"/>
      <c r="AI189" s="523"/>
      <c r="AJ189" s="523"/>
      <c r="AK189" s="523"/>
      <c r="AL189" s="523"/>
      <c r="AM189" s="523"/>
      <c r="AN189" s="523"/>
      <c r="AO189" s="523"/>
      <c r="AP189" s="523"/>
      <c r="AQ189" s="523"/>
      <c r="AR189" s="523"/>
      <c r="AS189" s="523"/>
      <c r="AT189" s="524"/>
      <c r="AW189" s="481"/>
      <c r="AX189" s="479"/>
      <c r="AY189" s="479"/>
      <c r="AZ189" s="479"/>
      <c r="BA189" s="479"/>
      <c r="BB189" s="479"/>
      <c r="BC189" s="479"/>
      <c r="BD189" s="479"/>
      <c r="BE189" s="479"/>
      <c r="BF189" s="479"/>
      <c r="BG189" s="479"/>
      <c r="BH189" s="479"/>
      <c r="BI189" s="479"/>
      <c r="BJ189" s="482"/>
    </row>
    <row r="190" spans="1:62" ht="12.75" thickBot="1">
      <c r="A190" s="519"/>
      <c r="B190" s="520"/>
      <c r="C190" s="520"/>
      <c r="D190" s="520"/>
      <c r="E190" s="520"/>
      <c r="F190" s="520"/>
      <c r="G190" s="520"/>
      <c r="H190" s="520"/>
      <c r="I190" s="520"/>
      <c r="J190" s="520"/>
      <c r="K190" s="520"/>
      <c r="L190" s="520"/>
      <c r="M190" s="520"/>
      <c r="N190" s="520"/>
      <c r="O190" s="520"/>
      <c r="P190" s="520"/>
      <c r="Q190" s="520"/>
      <c r="R190" s="520"/>
      <c r="S190" s="521"/>
      <c r="AB190" s="519"/>
      <c r="AC190" s="520"/>
      <c r="AD190" s="520"/>
      <c r="AE190" s="520"/>
      <c r="AF190" s="520"/>
      <c r="AG190" s="520"/>
      <c r="AH190" s="520"/>
      <c r="AI190" s="520"/>
      <c r="AJ190" s="520"/>
      <c r="AK190" s="520"/>
      <c r="AL190" s="520"/>
      <c r="AM190" s="520"/>
      <c r="AN190" s="520"/>
      <c r="AO190" s="520"/>
      <c r="AP190" s="520"/>
      <c r="AQ190" s="520"/>
      <c r="AR190" s="520"/>
      <c r="AS190" s="520"/>
      <c r="AT190" s="521"/>
      <c r="AW190" s="483"/>
      <c r="AX190" s="484"/>
      <c r="AY190" s="484"/>
      <c r="AZ190" s="484"/>
      <c r="BA190" s="484"/>
      <c r="BB190" s="484"/>
      <c r="BC190" s="484"/>
      <c r="BD190" s="484"/>
      <c r="BE190" s="484"/>
      <c r="BF190" s="484"/>
      <c r="BG190" s="484"/>
      <c r="BH190" s="484"/>
      <c r="BI190" s="484"/>
      <c r="BJ190" s="485"/>
    </row>
  </sheetData>
  <mergeCells count="331">
    <mergeCell ref="A2:I2"/>
    <mergeCell ref="J2:S2"/>
    <mergeCell ref="AB2:AJ2"/>
    <mergeCell ref="AK2:AT2"/>
    <mergeCell ref="H4:J4"/>
    <mergeCell ref="K4:L4"/>
    <mergeCell ref="M4:O4"/>
    <mergeCell ref="P4:S4"/>
    <mergeCell ref="AB166:AT166"/>
    <mergeCell ref="AB167:AT167"/>
    <mergeCell ref="AB162:AT162"/>
    <mergeCell ref="AB163:AT163"/>
    <mergeCell ref="AB160:AT160"/>
    <mergeCell ref="AB161:AT161"/>
    <mergeCell ref="AB156:AT156"/>
    <mergeCell ref="AB157:AT157"/>
    <mergeCell ref="AB158:AT158"/>
    <mergeCell ref="AB150:AT150"/>
    <mergeCell ref="AB151:AT151"/>
    <mergeCell ref="AB152:AT152"/>
    <mergeCell ref="C142:E142"/>
    <mergeCell ref="AD142:AF142"/>
    <mergeCell ref="C143:E143"/>
    <mergeCell ref="AD143:AF143"/>
    <mergeCell ref="A145:S145"/>
    <mergeCell ref="AB145:AT145"/>
    <mergeCell ref="A147:S147"/>
    <mergeCell ref="C137:E137"/>
    <mergeCell ref="AD137:AF137"/>
    <mergeCell ref="C138:E138"/>
    <mergeCell ref="AD138:AF138"/>
    <mergeCell ref="C139:E139"/>
    <mergeCell ref="AD139:AF139"/>
    <mergeCell ref="C96:E96"/>
    <mergeCell ref="AD96:AF96"/>
    <mergeCell ref="C97:E97"/>
    <mergeCell ref="AD97:AF97"/>
    <mergeCell ref="C98:E98"/>
    <mergeCell ref="C118:E118"/>
    <mergeCell ref="C119:E119"/>
    <mergeCell ref="C99:E99"/>
    <mergeCell ref="C22:E22"/>
    <mergeCell ref="AD22:AF22"/>
    <mergeCell ref="C24:E24"/>
    <mergeCell ref="AD24:AF24"/>
    <mergeCell ref="C25:E25"/>
    <mergeCell ref="AD25:AF25"/>
    <mergeCell ref="C15:E15"/>
    <mergeCell ref="AD15:AF15"/>
    <mergeCell ref="C16:E16"/>
    <mergeCell ref="AD16:AF16"/>
    <mergeCell ref="C17:E17"/>
    <mergeCell ref="AD17:AF17"/>
    <mergeCell ref="C20:E20"/>
    <mergeCell ref="C21:E21"/>
    <mergeCell ref="H5:J5"/>
    <mergeCell ref="K5:L5"/>
    <mergeCell ref="M5:O5"/>
    <mergeCell ref="P5:S5"/>
    <mergeCell ref="AC4:AD4"/>
    <mergeCell ref="AF4:AH4"/>
    <mergeCell ref="W7:X7"/>
    <mergeCell ref="Y7:Z7"/>
    <mergeCell ref="AI4:AK4"/>
    <mergeCell ref="AL4:AM4"/>
    <mergeCell ref="A189:S189"/>
    <mergeCell ref="AB189:AT189"/>
    <mergeCell ref="A185:S185"/>
    <mergeCell ref="AB185:AT185"/>
    <mergeCell ref="A186:S186"/>
    <mergeCell ref="AB186:AT186"/>
    <mergeCell ref="A183:S183"/>
    <mergeCell ref="AB183:AT183"/>
    <mergeCell ref="A190:S190"/>
    <mergeCell ref="AB190:AT190"/>
    <mergeCell ref="A187:S187"/>
    <mergeCell ref="AB187:AT187"/>
    <mergeCell ref="A188:S188"/>
    <mergeCell ref="AB188:AT188"/>
    <mergeCell ref="A184:S184"/>
    <mergeCell ref="AB184:AT184"/>
    <mergeCell ref="A181:S181"/>
    <mergeCell ref="AB181:AT181"/>
    <mergeCell ref="A182:S182"/>
    <mergeCell ref="AB182:AT182"/>
    <mergeCell ref="A179:S179"/>
    <mergeCell ref="AB179:AT179"/>
    <mergeCell ref="A180:S180"/>
    <mergeCell ref="AB180:AT180"/>
    <mergeCell ref="A177:S177"/>
    <mergeCell ref="AB177:AT177"/>
    <mergeCell ref="A178:S178"/>
    <mergeCell ref="AB178:AT178"/>
    <mergeCell ref="A175:S175"/>
    <mergeCell ref="AB175:AT175"/>
    <mergeCell ref="A176:S176"/>
    <mergeCell ref="AB176:AT176"/>
    <mergeCell ref="A173:S173"/>
    <mergeCell ref="AB173:AT173"/>
    <mergeCell ref="A174:S174"/>
    <mergeCell ref="AB174:AT174"/>
    <mergeCell ref="A171:S171"/>
    <mergeCell ref="AB171:AT171"/>
    <mergeCell ref="A172:S172"/>
    <mergeCell ref="AB172:AT172"/>
    <mergeCell ref="AB169:AT169"/>
    <mergeCell ref="A170:S170"/>
    <mergeCell ref="AB170:AT170"/>
    <mergeCell ref="AN4:AP4"/>
    <mergeCell ref="AQ4:AT4"/>
    <mergeCell ref="W5:Z6"/>
    <mergeCell ref="AC5:AD5"/>
    <mergeCell ref="AF5:AH5"/>
    <mergeCell ref="AI5:AK5"/>
    <mergeCell ref="AL5:AM5"/>
    <mergeCell ref="AN5:AP5"/>
    <mergeCell ref="AQ5:AT5"/>
    <mergeCell ref="AB164:AT164"/>
    <mergeCell ref="AB165:AT165"/>
    <mergeCell ref="AD20:AF20"/>
    <mergeCell ref="AD21:AF21"/>
    <mergeCell ref="AD118:AF118"/>
    <mergeCell ref="AD119:AF119"/>
    <mergeCell ref="AD98:AF98"/>
    <mergeCell ref="AD99:AF99"/>
    <mergeCell ref="C9:E9"/>
    <mergeCell ref="AD9:AF9"/>
    <mergeCell ref="C11:E11"/>
    <mergeCell ref="AD11:AF11"/>
    <mergeCell ref="U5:U9"/>
    <mergeCell ref="V5:V9"/>
    <mergeCell ref="W8:W9"/>
    <mergeCell ref="X8:X9"/>
    <mergeCell ref="Y8:Y9"/>
    <mergeCell ref="Z8:Z9"/>
    <mergeCell ref="C12:E12"/>
    <mergeCell ref="AD12:AF12"/>
    <mergeCell ref="C13:E13"/>
    <mergeCell ref="AD13:AF13"/>
    <mergeCell ref="C14:E14"/>
    <mergeCell ref="AD14:AF14"/>
    <mergeCell ref="C18:E18"/>
    <mergeCell ref="AD18:AF18"/>
    <mergeCell ref="C26:E26"/>
    <mergeCell ref="AD26:AF26"/>
    <mergeCell ref="C27:E27"/>
    <mergeCell ref="AD27:AF27"/>
    <mergeCell ref="C28:E28"/>
    <mergeCell ref="AD28:AF28"/>
    <mergeCell ref="C29:E29"/>
    <mergeCell ref="AD29:AF29"/>
    <mergeCell ref="C30:E30"/>
    <mergeCell ref="AD30:AF30"/>
    <mergeCell ref="C31:E31"/>
    <mergeCell ref="AD31:AF31"/>
    <mergeCell ref="C33:E33"/>
    <mergeCell ref="AD33:AF33"/>
    <mergeCell ref="C34:E34"/>
    <mergeCell ref="AD34:AF34"/>
    <mergeCell ref="C35:E35"/>
    <mergeCell ref="AD35:AF35"/>
    <mergeCell ref="C36:E36"/>
    <mergeCell ref="AD36:AF36"/>
    <mergeCell ref="C38:E38"/>
    <mergeCell ref="AD38:AF38"/>
    <mergeCell ref="C39:E39"/>
    <mergeCell ref="AD39:AF39"/>
    <mergeCell ref="C40:E40"/>
    <mergeCell ref="AD40:AF40"/>
    <mergeCell ref="C41:E41"/>
    <mergeCell ref="AD41:AF41"/>
    <mergeCell ref="C43:E43"/>
    <mergeCell ref="AD43:AF43"/>
    <mergeCell ref="C44:E44"/>
    <mergeCell ref="AD44:AF44"/>
    <mergeCell ref="C45:E45"/>
    <mergeCell ref="AD45:AF45"/>
    <mergeCell ref="C46:E46"/>
    <mergeCell ref="AD46:AF46"/>
    <mergeCell ref="C47:E47"/>
    <mergeCell ref="AD47:AF47"/>
    <mergeCell ref="C48:E48"/>
    <mergeCell ref="AD48:AF48"/>
    <mergeCell ref="C49:E49"/>
    <mergeCell ref="AD49:AF49"/>
    <mergeCell ref="C50:E50"/>
    <mergeCell ref="AD50:AF50"/>
    <mergeCell ref="C51:E51"/>
    <mergeCell ref="AD51:AF51"/>
    <mergeCell ref="C52:E52"/>
    <mergeCell ref="AD52:AF52"/>
    <mergeCell ref="C54:E54"/>
    <mergeCell ref="AD54:AF54"/>
    <mergeCell ref="C55:E55"/>
    <mergeCell ref="AD55:AF55"/>
    <mergeCell ref="C56:E56"/>
    <mergeCell ref="AD56:AF56"/>
    <mergeCell ref="C57:E57"/>
    <mergeCell ref="AD57:AF57"/>
    <mergeCell ref="C58:E58"/>
    <mergeCell ref="AD58:AF58"/>
    <mergeCell ref="C60:E60"/>
    <mergeCell ref="AD60:AF60"/>
    <mergeCell ref="C61:E61"/>
    <mergeCell ref="AD61:AF61"/>
    <mergeCell ref="C63:E63"/>
    <mergeCell ref="AD63:AF63"/>
    <mergeCell ref="C65:E65"/>
    <mergeCell ref="AD65:AF65"/>
    <mergeCell ref="C67:E67"/>
    <mergeCell ref="AD67:AF67"/>
    <mergeCell ref="C68:E68"/>
    <mergeCell ref="AD68:AF68"/>
    <mergeCell ref="C69:E69"/>
    <mergeCell ref="AD69:AF69"/>
    <mergeCell ref="C70:E70"/>
    <mergeCell ref="AD70:AF70"/>
    <mergeCell ref="C71:E71"/>
    <mergeCell ref="AD71:AF71"/>
    <mergeCell ref="C72:E72"/>
    <mergeCell ref="AD72:AF72"/>
    <mergeCell ref="C73:E73"/>
    <mergeCell ref="AD73:AF73"/>
    <mergeCell ref="C74:E74"/>
    <mergeCell ref="AD74:AF74"/>
    <mergeCell ref="C75:E75"/>
    <mergeCell ref="AD75:AF75"/>
    <mergeCell ref="C77:E77"/>
    <mergeCell ref="AD77:AF77"/>
    <mergeCell ref="C78:E78"/>
    <mergeCell ref="AD78:AF78"/>
    <mergeCell ref="C79:E79"/>
    <mergeCell ref="AD79:AF79"/>
    <mergeCell ref="C80:E80"/>
    <mergeCell ref="AD80:AF80"/>
    <mergeCell ref="C81:E81"/>
    <mergeCell ref="AD81:AF81"/>
    <mergeCell ref="C83:E83"/>
    <mergeCell ref="AD83:AF83"/>
    <mergeCell ref="C84:E84"/>
    <mergeCell ref="AD84:AF84"/>
    <mergeCell ref="C85:E85"/>
    <mergeCell ref="AD85:AF85"/>
    <mergeCell ref="C86:E86"/>
    <mergeCell ref="AD86:AF86"/>
    <mergeCell ref="C87:E87"/>
    <mergeCell ref="AD87:AF87"/>
    <mergeCell ref="C88:E88"/>
    <mergeCell ref="AD88:AF88"/>
    <mergeCell ref="C89:E89"/>
    <mergeCell ref="AD89:AF89"/>
    <mergeCell ref="C90:E90"/>
    <mergeCell ref="AD90:AF90"/>
    <mergeCell ref="C92:E92"/>
    <mergeCell ref="AD92:AF92"/>
    <mergeCell ref="C93:E93"/>
    <mergeCell ref="AD93:AF93"/>
    <mergeCell ref="C95:E95"/>
    <mergeCell ref="AD95:AF95"/>
    <mergeCell ref="C100:E100"/>
    <mergeCell ref="AD100:AF100"/>
    <mergeCell ref="C101:E101"/>
    <mergeCell ref="AD101:AF101"/>
    <mergeCell ref="C102:E102"/>
    <mergeCell ref="AD102:AF102"/>
    <mergeCell ref="C103:E103"/>
    <mergeCell ref="AD103:AF103"/>
    <mergeCell ref="C104:E104"/>
    <mergeCell ref="AD104:AF104"/>
    <mergeCell ref="C105:E105"/>
    <mergeCell ref="AD105:AF105"/>
    <mergeCell ref="C106:E106"/>
    <mergeCell ref="AD106:AF106"/>
    <mergeCell ref="C107:E107"/>
    <mergeCell ref="AD107:AF107"/>
    <mergeCell ref="C108:E108"/>
    <mergeCell ref="AD108:AF108"/>
    <mergeCell ref="C109:E109"/>
    <mergeCell ref="AD109:AF109"/>
    <mergeCell ref="C111:E111"/>
    <mergeCell ref="AD111:AF111"/>
    <mergeCell ref="C113:E113"/>
    <mergeCell ref="AD113:AF113"/>
    <mergeCell ref="C115:E115"/>
    <mergeCell ref="AD115:AF115"/>
    <mergeCell ref="C116:E116"/>
    <mergeCell ref="AD116:AF116"/>
    <mergeCell ref="C117:E117"/>
    <mergeCell ref="AD117:AF117"/>
    <mergeCell ref="C120:E120"/>
    <mergeCell ref="AD120:AF120"/>
    <mergeCell ref="C121:E121"/>
    <mergeCell ref="AD121:AF121"/>
    <mergeCell ref="C122:E122"/>
    <mergeCell ref="AD122:AF122"/>
    <mergeCell ref="C124:E124"/>
    <mergeCell ref="AD124:AF124"/>
    <mergeCell ref="C126:E126"/>
    <mergeCell ref="AD126:AF126"/>
    <mergeCell ref="C128:E128"/>
    <mergeCell ref="AD128:AF128"/>
    <mergeCell ref="C130:E130"/>
    <mergeCell ref="AD130:AF130"/>
    <mergeCell ref="C132:S132"/>
    <mergeCell ref="AD132:AT132"/>
    <mergeCell ref="C134:E134"/>
    <mergeCell ref="AD134:AF134"/>
    <mergeCell ref="AW145:BJ145"/>
    <mergeCell ref="A146:S146"/>
    <mergeCell ref="AB146:AT146"/>
    <mergeCell ref="AW146:BJ146"/>
    <mergeCell ref="AB159:AT159"/>
    <mergeCell ref="AB168:AT168"/>
    <mergeCell ref="B5:C5"/>
    <mergeCell ref="E5:G5"/>
    <mergeCell ref="A153:S153"/>
    <mergeCell ref="AB153:AT153"/>
    <mergeCell ref="A154:S154"/>
    <mergeCell ref="AB154:AT154"/>
    <mergeCell ref="AB147:AT147"/>
    <mergeCell ref="A148:S148"/>
    <mergeCell ref="B4:C4"/>
    <mergeCell ref="E4:G4"/>
    <mergeCell ref="A1:D1"/>
    <mergeCell ref="AB155:AT155"/>
    <mergeCell ref="AB148:AT148"/>
    <mergeCell ref="AB149:AT149"/>
    <mergeCell ref="C135:E135"/>
    <mergeCell ref="AD135:AF135"/>
    <mergeCell ref="C140:E140"/>
    <mergeCell ref="AD140:AF140"/>
  </mergeCells>
  <conditionalFormatting sqref="K137:K140 I33:I35 K33:K35 M33:M35 I38:I41 K39 G38:G41 M38:M41 O38:O41 Q38:Q41 S38:S41 K43:K44 S33:S36 Q60:Q61 K60:K61 I60:I61 G60:G61 M60:M61 O60:O61 S60:S61 S63 Q63 I63 G63 K63 O63 M63 O68:O75 S68:S75 O78:O81 Q78:Q81 S78:S81 O84:O90 Q84:Q90 S84:S90 S93 O93 Q93 K100:K102 I100:I102 G100:G102 M100:M102 S96:S109 O96:O109 Q96:Q109 S111 O111 Q111 S113 S116:S122 S124 O113 Q113 O116:O122 Q116:Q122 O124 S126 O126 Q126 Q124 O128 K128 I128 G128 M128 Q128 S128 K134 Q134:Q135 O137:O140 M135 O134:O135 S11:S18 G11:G18 K11:K18 M11:M18 O11:O18 Q12:Q18 S142:S143 G20:G22 I43:I52 G43:G52 M43:M52 O43:O52 Q43:Q52 S43:S52 K46:K52 Q54:Q57 Q137:Q140 S134:S135 M137:M140 I20:I22 K20:K22 M20:M22 S20:S22 Q20:Q22 O20:O22 S24:S31 Q24:Q31 M24:M31 K24:K31 I24:I31 G24:G31 O24:O31 O33:O36 G33:G36 Q33:Q36 S54:S58 O54:O58 M54:M58 G54:G58 I54:I58 K54:K58 S137:S140 K142:K143 O142:O143 Q142:Q143 M142:M143 I11:I18 Q68:Q75">
    <cfRule type="expression" priority="1" dxfId="0" stopIfTrue="1">
      <formula>AND(LEFT(AH11,1)="E",G11="")</formula>
    </cfRule>
    <cfRule type="expression" priority="2" dxfId="1" stopIfTrue="1">
      <formula>LEFT(AH11,1)="E"</formula>
    </cfRule>
    <cfRule type="expression" priority="3" dxfId="2" stopIfTrue="1">
      <formula>LEFT(AH11,1)="W"</formula>
    </cfRule>
  </conditionalFormatting>
  <conditionalFormatting sqref="B5:C5 E5:G5 P4:S4">
    <cfRule type="expression" priority="4" dxfId="1" stopIfTrue="1">
      <formula>LEFT(AC4,1)="E"</formula>
    </cfRule>
  </conditionalFormatting>
  <conditionalFormatting sqref="A5 D5">
    <cfRule type="expression" priority="5" dxfId="1" stopIfTrue="1">
      <formula>LEFT(AC5,1)="E"</formula>
    </cfRule>
  </conditionalFormatting>
  <conditionalFormatting sqref="K5:L5 P5:S5">
    <cfRule type="expression" priority="6" dxfId="2" stopIfTrue="1">
      <formula>LEFT(AL5,1)="W"</formula>
    </cfRule>
  </conditionalFormatting>
  <conditionalFormatting sqref="H5:J5 M5:O5">
    <cfRule type="expression" priority="7" dxfId="2" stopIfTrue="1">
      <formula>LEFT(AL5,1)="W"</formula>
    </cfRule>
  </conditionalFormatting>
  <conditionalFormatting sqref="M4:O4">
    <cfRule type="expression" priority="8" dxfId="1" stopIfTrue="1">
      <formula>LEFT(AQ4,1)="E"</formula>
    </cfRule>
  </conditionalFormatting>
  <conditionalFormatting sqref="A1:D1">
    <cfRule type="expression" priority="9" dxfId="5" stopIfTrue="1">
      <formula>AU1&lt;&gt;0</formula>
    </cfRule>
    <cfRule type="expression" priority="10" dxfId="6" stopIfTrue="1">
      <formula>AU1=0</formula>
    </cfRule>
  </conditionalFormatting>
  <dataValidations count="1">
    <dataValidation type="list" allowBlank="1" showInputMessage="1" showErrorMessage="1" errorTitle="S52 Budget 2006-07" error="You have made an invalid selection/entry - Please retry and correct this." sqref="R114 R20 R94 R25:R91 R99:R111">
      <formula1>"No Variation Applied, School Forum, Secretary of State"</formula1>
    </dataValidation>
  </dataValidations>
  <hyperlinks>
    <hyperlink ref="C11:E11" r:id="rId1" display="Individual Schools Budget"/>
    <hyperlink ref="C12:E12" r:id="rId2" display="School Standards Grant - Maintained Schools"/>
    <hyperlink ref="C13:E13" r:id="rId3" display="School Standards Grant - Pupil Referral Units"/>
    <hyperlink ref="C14:E14" r:id="rId4" display="School Development Grant"/>
    <hyperlink ref="C15:E15" r:id="rId5" display="Other Standards Fund Allocation - Devolved"/>
    <hyperlink ref="C16:E16" r:id="rId6" display="Devolved School Meals Grant"/>
    <hyperlink ref="C17:E17" r:id="rId7" display="Targeted School Meals Grant - Devolved"/>
    <hyperlink ref="C18:E18" r:id="rId8" display="Threshold and Performance Pay (Devolved)"/>
    <hyperlink ref="C20:E20" r:id="rId9" display="Support for schools in financial difficulty"/>
    <hyperlink ref="C21:E21" r:id="rId10" display="School-specific contingencies"/>
    <hyperlink ref="C22:E22" r:id="rId11" display="14 - 16 More Practical Learning Options"/>
    <hyperlink ref="C24:E24" r:id="rId12" display="Provision for pupils with SEN, with and without statements"/>
    <hyperlink ref="C25:E25" r:id="rId13" display="Provision for pupils with SEN, with and without statements, not included in line 1.2.1"/>
    <hyperlink ref="C26:E26" r:id="rId14" display="Support for inclusion"/>
    <hyperlink ref="C27:E27" r:id="rId15" display="Fees for pupils at independent special schools &amp; abroad"/>
    <hyperlink ref="C28:E28" r:id="rId16" display="Fees to independent schools for pupils without statements of SEN"/>
    <hyperlink ref="C29:E29" r:id="rId17" display="SEN transport"/>
    <hyperlink ref="C30:E30" r:id="rId18" display="Contribution to combined budgets "/>
    <hyperlink ref="C31:E31" r:id="rId19" display="Inter-authority recoupment"/>
    <hyperlink ref="C33:E33" r:id="rId20" display="Pupil Referral Units"/>
    <hyperlink ref="C34:E34" r:id="rId21" display="Behaviour Support Services"/>
    <hyperlink ref="C35:E35" r:id="rId22" display="Education out of school"/>
    <hyperlink ref="C36:E36" r:id="rId23" display="Private/voluntary/independent fees for education of children under 5"/>
    <hyperlink ref="C38:E38" r:id="rId24" display="School Meals  - nursery, primary and special schools"/>
    <hyperlink ref="C39:E39" r:id="rId25" display="Free School Meals -  eligibility"/>
    <hyperlink ref="C40:E40" r:id="rId26" display="Milk"/>
    <hyperlink ref="C41:E41" r:id="rId27" display="School Kitchens  -  repair and maintenance"/>
    <hyperlink ref="C43:E43" r:id="rId28" display="Insurance"/>
    <hyperlink ref="C44:E44" r:id="rId29" display="Museum Services"/>
    <hyperlink ref="C45:E45" r:id="rId30" display="Library Services - nursery, primary and special schools"/>
    <hyperlink ref="C46:E46" r:id="rId31" display="School admissions"/>
    <hyperlink ref="C47:E47" r:id="rId32" display="Licences/subscriptions "/>
    <hyperlink ref="C48:E48" r:id="rId33" display="Miscellaneous (not more than 0.1% total net SB)"/>
    <hyperlink ref="C49:E49" r:id="rId34" display="Servicing of schools forums"/>
    <hyperlink ref="C50:E50" r:id="rId35" display="Staff costs - supply cover (not sickness)"/>
    <hyperlink ref="C51:E51" r:id="rId36" display="Supply cover - long term sickness"/>
    <hyperlink ref="C52:E52" r:id="rId37" display="Termination of Employment Costs"/>
    <hyperlink ref="C54:E54" r:id="rId38" display="School Development Grant - Non-Devolved"/>
    <hyperlink ref="C55:E55" r:id="rId39" display="Other Standards Fund Allocation - Non-Devolved"/>
    <hyperlink ref="C56:E56" r:id="rId40" display="Non-Standards Fund specific grant"/>
    <hyperlink ref="C57:E57" r:id="rId41" display="Targeted School Meals Grant - Non-Devolved"/>
    <hyperlink ref="C58:E58" r:id="rId42" display="Performance Reward Grant"/>
    <hyperlink ref="C60:E60" r:id="rId43" display="Capital Expenditure from Revenue (CERA) (Schools)"/>
    <hyperlink ref="C61:E61" r:id="rId44" display="Prudential borrowing costs"/>
    <hyperlink ref="C63:E63" r:id="rId45" display="TOTAL SCHOOLS BUDGET"/>
    <hyperlink ref="C68:E68" r:id="rId46" display="Statutory / regulatory duties"/>
    <hyperlink ref="C69:E69" r:id="rId47" display="Premature retirement costs / redundancy costs"/>
    <hyperlink ref="C70:E70" r:id="rId48" display="Existing early retirement costs (commitments entered into by 31/3/99)"/>
    <hyperlink ref="C71:E71" r:id="rId49" display="Residual pension liability (eg FE, Careers Service, etc.)"/>
    <hyperlink ref="C72:E72" r:id="rId50" display="Joint use arrangements"/>
    <hyperlink ref="C73:E73" r:id="rId51" display="Insurance"/>
    <hyperlink ref="C74:E74" r:id="rId52" display="Monitoring National Curriculum Assessment"/>
    <hyperlink ref="C75:E75" r:id="rId53" display="Total Strategic Management"/>
    <hyperlink ref="C78:E78" r:id="rId54" display="School Development Grant - non-devolved"/>
    <hyperlink ref="C79:E79" r:id="rId55" display="Other Standards Fund - non-devolved"/>
    <hyperlink ref="C80:E80" r:id="rId56" display="Non-Standards Fund specific grant"/>
    <hyperlink ref="C81:E81" r:id="rId57" display="Total Specific Grants"/>
    <hyperlink ref="C84:E84" r:id="rId58" display="Educational Psychology Service"/>
    <hyperlink ref="C85:E85" r:id="rId59" display="SEN administration, assessment and co-ordination"/>
    <hyperlink ref="C86:E86" r:id="rId60" display="LEA functions in relation to child protection"/>
    <hyperlink ref="C87:E87" r:id="rId61" display="Therapies and other Health Related Services"/>
    <hyperlink ref="C88:E88" r:id="rId62" display="Parent partnership, guidance and information"/>
    <hyperlink ref="C89:E89" r:id="rId63" display="Monitoring of SEN provision"/>
    <hyperlink ref="C90:E90" r:id="rId64" display="Total Special Education"/>
    <hyperlink ref="C93:E93" r:id="rId65" display="School improvement"/>
    <hyperlink ref="C96:E96" r:id="rId66" display="Asset management"/>
    <hyperlink ref="C97:E97" r:id="rId67" display="Supply of school places"/>
    <hyperlink ref="C98:E98" r:id="rId68" display="Excluded pupils"/>
    <hyperlink ref="C99:E99" r:id="rId69" display="Behaviour support Plans"/>
    <hyperlink ref="C100:E100" r:id="rId70" display="Pupil support"/>
    <hyperlink ref="C101:E101" r:id="rId71" display="Home to school transport: SEN transport expenditure"/>
    <hyperlink ref="C102:E102" r:id="rId72" display="Home to school transport: other home to school transport expenditure"/>
    <hyperlink ref="C103:E103" r:id="rId73" display="Home to college transport: SEN transport expenditure"/>
    <hyperlink ref="C104:E104" r:id="rId74" display="Home to college transport: other home to college transport expenditure"/>
    <hyperlink ref="C105:E105" r:id="rId75" display="Education Welfare Service"/>
    <hyperlink ref="C106:E106" r:id="rId76" display="Music Service (not Standards Fund supported)"/>
    <hyperlink ref="C107:E107" r:id="rId77" display="Visual and Performing Arts (other than music)"/>
    <hyperlink ref="C108:E108" r:id="rId78" display="Outdoor Education including Environmental and Field Studies (not sports)"/>
    <hyperlink ref="C109:E109" r:id="rId79" display="Total Access"/>
    <hyperlink ref="C111:E111" r:id="rId80" display="Capital Expenditure from Revenue (CERA) (LEA Central Functions)"/>
    <hyperlink ref="C113:E113" r:id="rId81" display="Total LEA Central Functions  "/>
    <hyperlink ref="C116:E116" r:id="rId82" display="Youth Service"/>
    <hyperlink ref="C117:E117" r:id="rId83" display="Adult and Community learning"/>
    <hyperlink ref="C118:E118" r:id="rId84" display="Mandatory Awards"/>
    <hyperlink ref="C119:E119" r:id="rId85" display="Student Support under new arrangements"/>
    <hyperlink ref="C120:E120" r:id="rId86" display="Discretionary Awards"/>
    <hyperlink ref="C121:E121" r:id="rId87" display="Capital Expenditure from Revenue (CERA) (Youth &amp; Community)"/>
    <hyperlink ref="C122:E122" r:id="rId88" display="Total Youth and Community"/>
    <hyperlink ref="C124:E124" r:id="rId89" display="TOTAL LEA BUDGET  "/>
    <hyperlink ref="C126:E126" r:id="rId90" display="TOTAL EDUCATION REVENUE EXPENDITURE"/>
    <hyperlink ref="C128:E128" r:id="rId91" display="CAPITAL EXPENDITURE (excl. CERA)"/>
    <hyperlink ref="C132:S132" r:id="rId92" display="Expenditure covered by LSC Grant - Include below the part of the expenditure recorded in individual lines of section 52 budget that is supported by the Learning and Skills Council."/>
    <hyperlink ref="C134:E134" r:id="rId93" display="SIXTH FORM - Allocation from LSC for 16+ funding for secondary schools (included in expenditure 1.0.1 column (c))"/>
    <hyperlink ref="C135:E135" r:id="rId94" display="SIXTH FORM - Allocation from LSC for 16+ funding for special schools (included in expenditure 1.0.1 column (d))"/>
    <hyperlink ref="C137:E137" r:id="rId95" display="Sixth form element included at 1.2.1 above for pupils with and without statements"/>
    <hyperlink ref="C138:E138" r:id="rId96" display="Sixth form element included at 1.2.2 above for pupils with and without statements"/>
    <hyperlink ref="C139:E139" r:id="rId97" display="Sixth form element included at 1.2.4 above for pupils at independent special schools and abroad"/>
    <hyperlink ref="C140:E140" r:id="rId98" display="Sixth form element included at 1.2.5 above for pupils at independent schools (pupils without statements)"/>
    <hyperlink ref="C142:E142" r:id="rId99" display="LSC Threshold and Performance Pay Costs (included in expenditure at 1.0.1 columns c and d)"/>
    <hyperlink ref="C143:E143" r:id="rId100" display="LSC Threshold and Performance Pay Costs (included in expenditure at 1.0.8 columns c and d)"/>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Solihull MBC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sfenton</dc:creator>
  <cp:keywords/>
  <dc:description/>
  <cp:lastModifiedBy>sfenton</cp:lastModifiedBy>
  <cp:lastPrinted>2006-08-04T11:12:17Z</cp:lastPrinted>
  <dcterms:created xsi:type="dcterms:W3CDTF">2006-08-02T09:08:03Z</dcterms:created>
  <dcterms:modified xsi:type="dcterms:W3CDTF">2006-11-29T10:43:39Z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